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ONG ANH\LUONG\"/>
    </mc:Choice>
  </mc:AlternateContent>
  <bookViews>
    <workbookView minimized="1" xWindow="0" yWindow="0" windowWidth="23040" windowHeight="9972" tabRatio="912" firstSheet="2" activeTab="18"/>
  </bookViews>
  <sheets>
    <sheet name="Sheet2" sheetId="4" state="hidden" r:id="rId1"/>
    <sheet name="Thang bảng lương" sheetId="3" state="hidden" r:id="rId2"/>
    <sheet name="Diễn giải" sheetId="36" r:id="rId3"/>
    <sheet name="Bang luong" sheetId="24" state="hidden" r:id="rId4"/>
    <sheet name="he so" sheetId="71" state="hidden" r:id="rId5"/>
    <sheet name="the luong" sheetId="53" r:id="rId6"/>
    <sheet name="thang luong moi" sheetId="69" r:id="rId7"/>
    <sheet name="Bang luong (chaun)" sheetId="56" state="hidden" r:id="rId8"/>
    <sheet name="ung luong" sheetId="54" r:id="rId9"/>
    <sheet name="So sánh - nhan xet" sheetId="35" state="hidden" r:id="rId10"/>
    <sheet name="chuyên cần" sheetId="25" r:id="rId11"/>
    <sheet name="nhap cc" sheetId="52" state="hidden" r:id="rId12"/>
    <sheet name="BLuong" sheetId="1" state="hidden" r:id="rId13"/>
    <sheet name="TG - Phep nam" sheetId="102" r:id="rId14"/>
    <sheet name="CC" sheetId="17" r:id="rId15"/>
    <sheet name="BANG LUONG 1" sheetId="70" r:id="rId16"/>
    <sheet name="đơn giá" sheetId="5" state="hidden" r:id="rId17"/>
    <sheet name="Công tổng" sheetId="6" r:id="rId18"/>
    <sheet name="26" sheetId="96" r:id="rId19"/>
    <sheet name="27" sheetId="97" r:id="rId20"/>
    <sheet name="28" sheetId="98" r:id="rId21"/>
    <sheet name="29" sheetId="99" r:id="rId22"/>
    <sheet name="30" sheetId="101" r:id="rId23"/>
    <sheet name="31" sheetId="100" r:id="rId24"/>
    <sheet name="1" sheetId="7" r:id="rId25"/>
    <sheet name="2" sheetId="72" r:id="rId26"/>
    <sheet name="3" sheetId="73" r:id="rId27"/>
    <sheet name="4" sheetId="74" r:id="rId28"/>
    <sheet name="5" sheetId="75" r:id="rId29"/>
    <sheet name="6" sheetId="76" r:id="rId30"/>
    <sheet name="7" sheetId="77" r:id="rId31"/>
    <sheet name="8" sheetId="78" r:id="rId32"/>
    <sheet name="9" sheetId="79" r:id="rId33"/>
    <sheet name="10" sheetId="80" r:id="rId34"/>
    <sheet name="11" sheetId="81" r:id="rId35"/>
    <sheet name="12" sheetId="82" r:id="rId36"/>
    <sheet name="13" sheetId="83" r:id="rId37"/>
    <sheet name="14" sheetId="84" r:id="rId38"/>
    <sheet name="15" sheetId="85" r:id="rId39"/>
    <sheet name="16" sheetId="86" r:id="rId40"/>
    <sheet name="17" sheetId="87" r:id="rId41"/>
    <sheet name="18" sheetId="88" r:id="rId42"/>
    <sheet name="19" sheetId="89" r:id="rId43"/>
    <sheet name="20" sheetId="90" r:id="rId44"/>
    <sheet name="21" sheetId="91" r:id="rId45"/>
    <sheet name="22" sheetId="92" r:id="rId46"/>
    <sheet name="23" sheetId="93" r:id="rId47"/>
    <sheet name="24" sheetId="94" r:id="rId48"/>
    <sheet name="25" sheetId="95" r:id="rId49"/>
    <sheet name="boc xe" sheetId="8" state="hidden" r:id="rId50"/>
    <sheet name="chia CN boc xe" sheetId="9" state="hidden" r:id="rId51"/>
    <sheet name="SX" sheetId="10" state="hidden" r:id="rId52"/>
    <sheet name="chia CN SX" sheetId="11" state="hidden" r:id="rId53"/>
    <sheet name="XLBH" sheetId="30" state="hidden" r:id="rId54"/>
    <sheet name="chia CN XLBH" sheetId="31" state="hidden" r:id="rId55"/>
  </sheets>
  <externalReferences>
    <externalReference r:id="rId56"/>
    <externalReference r:id="rId57"/>
    <externalReference r:id="rId58"/>
    <externalReference r:id="rId59"/>
  </externalReferences>
  <definedNames>
    <definedName name="_xlnm._FilterDatabase" localSheetId="3" hidden="1">'Bang luong'!$A$4:$G$47</definedName>
    <definedName name="_xlnm._FilterDatabase" localSheetId="7" hidden="1">'Bang luong (chaun)'!$A$4:$AT$83</definedName>
    <definedName name="_xlnm._FilterDatabase" localSheetId="15" hidden="1">'BANG LUONG 1'!$A$4:$AJ$55</definedName>
    <definedName name="_xlnm._FilterDatabase" localSheetId="12" hidden="1">BLuong!$A$4:$E$99</definedName>
    <definedName name="_xlnm._FilterDatabase" localSheetId="50" hidden="1">'chia CN boc xe'!$A$2:$AJ$131</definedName>
    <definedName name="_xlnm._FilterDatabase" localSheetId="16" hidden="1">'đơn giá'!$A$3:$M$3</definedName>
    <definedName name="_xlnm._FilterDatabase" localSheetId="5" hidden="1">'the luong'!$B$1:$B$3003</definedName>
    <definedName name="_xlnm.Print_Area" localSheetId="7">'Bang luong (chaun)'!$C$6:$J$79</definedName>
    <definedName name="_xlnm.Print_Area" localSheetId="15">'BANG LUONG 1'!$A$1:$AJ$63</definedName>
    <definedName name="_xlnm.Print_Area" localSheetId="6">'thang luong moi'!$A$11:$I$78</definedName>
    <definedName name="_xlnm.Print_Titles" localSheetId="15">'BANG LUONG 1'!$4:$4</definedName>
    <definedName name="_xlnm.Print_Titles" localSheetId="14">CC!$4:$4</definedName>
    <definedName name="_xlnm.Print_Titles" localSheetId="13">'TG - Phep nam'!$2:$3</definedName>
    <definedName name="_xlnm.Print_Titles" localSheetId="8">'ung luong'!$2:$2</definedName>
  </definedNames>
  <calcPr calcId="152511"/>
</workbook>
</file>

<file path=xl/calcChain.xml><?xml version="1.0" encoding="utf-8"?>
<calcChain xmlns="http://schemas.openxmlformats.org/spreadsheetml/2006/main">
  <c r="V7" i="70" l="1"/>
  <c r="W7" i="70"/>
  <c r="U7" i="70"/>
  <c r="L7" i="70"/>
  <c r="N7" i="70"/>
  <c r="X7" i="70"/>
  <c r="AB53" i="70" l="1"/>
  <c r="AD53" i="70"/>
  <c r="AE53" i="70"/>
  <c r="AI53" i="70"/>
  <c r="AB47" i="70"/>
  <c r="AD47" i="70"/>
  <c r="AE47" i="70"/>
  <c r="AI47" i="70"/>
  <c r="AB38" i="70"/>
  <c r="AD38" i="70"/>
  <c r="AE38" i="70"/>
  <c r="AI38" i="70"/>
  <c r="AB18" i="70"/>
  <c r="AD18" i="70"/>
  <c r="AE18" i="70"/>
  <c r="AI18" i="70"/>
  <c r="AB5" i="70"/>
  <c r="AD5" i="70"/>
  <c r="AE5" i="70"/>
  <c r="AI5" i="70"/>
  <c r="B93" i="53" l="1"/>
  <c r="B92" i="53"/>
  <c r="BA111" i="102" l="1"/>
  <c r="AC33" i="70" l="1"/>
  <c r="AC34" i="70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L47" i="25" l="1"/>
  <c r="AO47" i="25" s="1"/>
  <c r="V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D91" i="6"/>
  <c r="BJ44" i="6"/>
  <c r="BJ91" i="6" s="1"/>
  <c r="BK44" i="6"/>
  <c r="BK91" i="6" s="1"/>
  <c r="BL44" i="6"/>
  <c r="BL91" i="6" s="1"/>
  <c r="BM44" i="6"/>
  <c r="BM91" i="6" s="1"/>
  <c r="BN44" i="6"/>
  <c r="BN91" i="6" s="1"/>
  <c r="BO44" i="6"/>
  <c r="BO91" i="6" s="1"/>
  <c r="BP44" i="6"/>
  <c r="BP91" i="6" s="1"/>
  <c r="BQ44" i="6"/>
  <c r="BQ91" i="6" s="1"/>
  <c r="BR44" i="6"/>
  <c r="BR91" i="6" s="1"/>
  <c r="BS44" i="6"/>
  <c r="BS91" i="6" s="1"/>
  <c r="BT44" i="6"/>
  <c r="BT91" i="6" s="1"/>
  <c r="BU44" i="6"/>
  <c r="BU91" i="6" s="1"/>
  <c r="BV44" i="6"/>
  <c r="BV91" i="6" s="1"/>
  <c r="BW44" i="6"/>
  <c r="BW91" i="6" s="1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E44" i="6"/>
  <c r="BE91" i="6" s="1"/>
  <c r="BF44" i="6"/>
  <c r="BF91" i="6" s="1"/>
  <c r="BG44" i="6"/>
  <c r="BG91" i="6" s="1"/>
  <c r="BH44" i="6"/>
  <c r="BH91" i="6" s="1"/>
  <c r="BE45" i="6"/>
  <c r="BF45" i="6"/>
  <c r="BG45" i="6"/>
  <c r="BH45" i="6"/>
  <c r="BE46" i="6"/>
  <c r="BF46" i="6"/>
  <c r="BG46" i="6"/>
  <c r="BH46" i="6"/>
  <c r="BE47" i="6"/>
  <c r="BF47" i="6"/>
  <c r="BG47" i="6"/>
  <c r="BH47" i="6"/>
  <c r="BE48" i="6"/>
  <c r="BF48" i="6"/>
  <c r="BG48" i="6"/>
  <c r="BH48" i="6"/>
  <c r="BE49" i="6"/>
  <c r="BF49" i="6"/>
  <c r="BG49" i="6"/>
  <c r="BH49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AQ44" i="6"/>
  <c r="AQ91" i="6" s="1"/>
  <c r="AR44" i="6"/>
  <c r="AR91" i="6" s="1"/>
  <c r="AS44" i="6"/>
  <c r="AS91" i="6" s="1"/>
  <c r="AT44" i="6"/>
  <c r="AT91" i="6" s="1"/>
  <c r="AU44" i="6"/>
  <c r="AU91" i="6" s="1"/>
  <c r="AV44" i="6"/>
  <c r="AV91" i="6" s="1"/>
  <c r="AW44" i="6"/>
  <c r="AW91" i="6" s="1"/>
  <c r="AX44" i="6"/>
  <c r="AX91" i="6" s="1"/>
  <c r="AY44" i="6"/>
  <c r="AY91" i="6" s="1"/>
  <c r="AZ44" i="6"/>
  <c r="AZ91" i="6" s="1"/>
  <c r="BA44" i="6"/>
  <c r="BA91" i="6" s="1"/>
  <c r="BB44" i="6"/>
  <c r="BB91" i="6" s="1"/>
  <c r="BC44" i="6"/>
  <c r="BC91" i="6" s="1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AL44" i="6"/>
  <c r="AL91" i="6" s="1"/>
  <c r="AM44" i="6"/>
  <c r="AM91" i="6" s="1"/>
  <c r="AN44" i="6"/>
  <c r="AN91" i="6" s="1"/>
  <c r="AO44" i="6"/>
  <c r="AO91" i="6" s="1"/>
  <c r="AL45" i="6"/>
  <c r="AM45" i="6"/>
  <c r="AN45" i="6"/>
  <c r="AO45" i="6"/>
  <c r="AL46" i="6"/>
  <c r="AM46" i="6"/>
  <c r="AN46" i="6"/>
  <c r="AO46" i="6"/>
  <c r="AL47" i="6"/>
  <c r="AM47" i="6"/>
  <c r="AN47" i="6"/>
  <c r="AO47" i="6"/>
  <c r="AL48" i="6"/>
  <c r="AM48" i="6"/>
  <c r="AN48" i="6"/>
  <c r="AO48" i="6"/>
  <c r="AL49" i="6"/>
  <c r="AM49" i="6"/>
  <c r="AN49" i="6"/>
  <c r="AO49" i="6"/>
  <c r="AL7" i="6"/>
  <c r="AM7" i="6"/>
  <c r="AN7" i="6"/>
  <c r="AO7" i="6"/>
  <c r="AL8" i="6"/>
  <c r="AM8" i="6"/>
  <c r="AN8" i="6"/>
  <c r="AO8" i="6"/>
  <c r="AL9" i="6"/>
  <c r="AM9" i="6"/>
  <c r="AN9" i="6"/>
  <c r="AO9" i="6"/>
  <c r="AL10" i="6"/>
  <c r="AM10" i="6"/>
  <c r="AN10" i="6"/>
  <c r="AO10" i="6"/>
  <c r="AL11" i="6"/>
  <c r="AM11" i="6"/>
  <c r="AN11" i="6"/>
  <c r="AO11" i="6"/>
  <c r="AL12" i="6"/>
  <c r="AM12" i="6"/>
  <c r="AN12" i="6"/>
  <c r="AO12" i="6"/>
  <c r="AL13" i="6"/>
  <c r="AM13" i="6"/>
  <c r="AN13" i="6"/>
  <c r="AO13" i="6"/>
  <c r="AL14" i="6"/>
  <c r="AM14" i="6"/>
  <c r="AN14" i="6"/>
  <c r="AO14" i="6"/>
  <c r="AL15" i="6"/>
  <c r="AM15" i="6"/>
  <c r="AN15" i="6"/>
  <c r="AO15" i="6"/>
  <c r="AL16" i="6"/>
  <c r="AM16" i="6"/>
  <c r="AN16" i="6"/>
  <c r="AO16" i="6"/>
  <c r="AL17" i="6"/>
  <c r="AM17" i="6"/>
  <c r="AN17" i="6"/>
  <c r="AO17" i="6"/>
  <c r="AL18" i="6"/>
  <c r="AM18" i="6"/>
  <c r="AN18" i="6"/>
  <c r="AO18" i="6"/>
  <c r="AL19" i="6"/>
  <c r="AM19" i="6"/>
  <c r="AN19" i="6"/>
  <c r="AO19" i="6"/>
  <c r="AL20" i="6"/>
  <c r="AM20" i="6"/>
  <c r="AN20" i="6"/>
  <c r="AO20" i="6"/>
  <c r="AL21" i="6"/>
  <c r="AM21" i="6"/>
  <c r="AN21" i="6"/>
  <c r="AO21" i="6"/>
  <c r="AL22" i="6"/>
  <c r="AM22" i="6"/>
  <c r="AN22" i="6"/>
  <c r="AO22" i="6"/>
  <c r="AL23" i="6"/>
  <c r="AM23" i="6"/>
  <c r="AN23" i="6"/>
  <c r="AO23" i="6"/>
  <c r="AL24" i="6"/>
  <c r="AM24" i="6"/>
  <c r="AN24" i="6"/>
  <c r="AO24" i="6"/>
  <c r="AL25" i="6"/>
  <c r="AM25" i="6"/>
  <c r="AN25" i="6"/>
  <c r="AO25" i="6"/>
  <c r="AL26" i="6"/>
  <c r="AM26" i="6"/>
  <c r="AN26" i="6"/>
  <c r="AO26" i="6"/>
  <c r="AL27" i="6"/>
  <c r="AM27" i="6"/>
  <c r="AN27" i="6"/>
  <c r="AO27" i="6"/>
  <c r="AL28" i="6"/>
  <c r="AM28" i="6"/>
  <c r="AN28" i="6"/>
  <c r="AO28" i="6"/>
  <c r="AL29" i="6"/>
  <c r="AM29" i="6"/>
  <c r="AN29" i="6"/>
  <c r="AO29" i="6"/>
  <c r="AL30" i="6"/>
  <c r="AM30" i="6"/>
  <c r="AN30" i="6"/>
  <c r="AO30" i="6"/>
  <c r="AL31" i="6"/>
  <c r="AM31" i="6"/>
  <c r="AN31" i="6"/>
  <c r="AO31" i="6"/>
  <c r="AL32" i="6"/>
  <c r="AM32" i="6"/>
  <c r="AN32" i="6"/>
  <c r="AO32" i="6"/>
  <c r="AL33" i="6"/>
  <c r="AM33" i="6"/>
  <c r="AN33" i="6"/>
  <c r="AO33" i="6"/>
  <c r="AL34" i="6"/>
  <c r="AM34" i="6"/>
  <c r="AN34" i="6"/>
  <c r="AO34" i="6"/>
  <c r="AL35" i="6"/>
  <c r="AM35" i="6"/>
  <c r="AN35" i="6"/>
  <c r="AO35" i="6"/>
  <c r="AL36" i="6"/>
  <c r="AM36" i="6"/>
  <c r="AN36" i="6"/>
  <c r="AO36" i="6"/>
  <c r="AL37" i="6"/>
  <c r="AM37" i="6"/>
  <c r="AN37" i="6"/>
  <c r="AO37" i="6"/>
  <c r="AL38" i="6"/>
  <c r="AM38" i="6"/>
  <c r="AN38" i="6"/>
  <c r="AO38" i="6"/>
  <c r="AL39" i="6"/>
  <c r="AM39" i="6"/>
  <c r="AN39" i="6"/>
  <c r="AO39" i="6"/>
  <c r="AL40" i="6"/>
  <c r="AM40" i="6"/>
  <c r="AN40" i="6"/>
  <c r="AO40" i="6"/>
  <c r="AL41" i="6"/>
  <c r="AM41" i="6"/>
  <c r="AN41" i="6"/>
  <c r="AO41" i="6"/>
  <c r="AL42" i="6"/>
  <c r="AM42" i="6"/>
  <c r="AN42" i="6"/>
  <c r="AO42" i="6"/>
  <c r="AL43" i="6"/>
  <c r="AM43" i="6"/>
  <c r="AN43" i="6"/>
  <c r="AO43" i="6"/>
  <c r="AM6" i="6"/>
  <c r="AN6" i="6"/>
  <c r="AO6" i="6"/>
  <c r="D44" i="6"/>
  <c r="B44" i="95"/>
  <c r="C44" i="95"/>
  <c r="D44" i="95"/>
  <c r="B44" i="94"/>
  <c r="C44" i="94"/>
  <c r="D44" i="94"/>
  <c r="B44" i="93"/>
  <c r="C44" i="93"/>
  <c r="D44" i="93"/>
  <c r="B44" i="92"/>
  <c r="C44" i="92"/>
  <c r="D44" i="92"/>
  <c r="B44" i="91"/>
  <c r="C44" i="91"/>
  <c r="D44" i="91"/>
  <c r="B44" i="90"/>
  <c r="C44" i="90"/>
  <c r="D44" i="90"/>
  <c r="B44" i="89"/>
  <c r="C44" i="89"/>
  <c r="D44" i="89"/>
  <c r="B44" i="88"/>
  <c r="C44" i="88"/>
  <c r="D44" i="88"/>
  <c r="B44" i="87"/>
  <c r="C44" i="87"/>
  <c r="D44" i="87"/>
  <c r="B44" i="86"/>
  <c r="C44" i="86"/>
  <c r="D44" i="86"/>
  <c r="B44" i="85"/>
  <c r="C44" i="85"/>
  <c r="D44" i="85"/>
  <c r="B44" i="84"/>
  <c r="C44" i="84"/>
  <c r="D44" i="84"/>
  <c r="B44" i="83"/>
  <c r="C44" i="83"/>
  <c r="D44" i="83"/>
  <c r="B44" i="82"/>
  <c r="C44" i="82"/>
  <c r="D44" i="82"/>
  <c r="B44" i="81"/>
  <c r="C44" i="81"/>
  <c r="D44" i="81"/>
  <c r="B44" i="80"/>
  <c r="C44" i="80"/>
  <c r="D44" i="80"/>
  <c r="B44" i="79"/>
  <c r="C44" i="79"/>
  <c r="D44" i="79"/>
  <c r="B44" i="78"/>
  <c r="C44" i="78"/>
  <c r="D44" i="78"/>
  <c r="B44" i="77"/>
  <c r="C44" i="77"/>
  <c r="D44" i="77"/>
  <c r="B44" i="76"/>
  <c r="C44" i="76"/>
  <c r="D44" i="76"/>
  <c r="B44" i="75"/>
  <c r="C44" i="75"/>
  <c r="D44" i="75"/>
  <c r="B44" i="74"/>
  <c r="C44" i="74"/>
  <c r="D44" i="74"/>
  <c r="B44" i="73"/>
  <c r="C44" i="73"/>
  <c r="D44" i="73"/>
  <c r="B45" i="73"/>
  <c r="C45" i="73"/>
  <c r="D45" i="73"/>
  <c r="B44" i="72"/>
  <c r="C44" i="72"/>
  <c r="D44" i="72"/>
  <c r="B44" i="7"/>
  <c r="C44" i="7"/>
  <c r="D44" i="7"/>
  <c r="A44" i="100"/>
  <c r="B44" i="100"/>
  <c r="C44" i="100"/>
  <c r="D44" i="100"/>
  <c r="B44" i="101"/>
  <c r="C44" i="101"/>
  <c r="D44" i="101"/>
  <c r="B44" i="99"/>
  <c r="C44" i="99"/>
  <c r="D44" i="99"/>
  <c r="B44" i="98"/>
  <c r="C44" i="98"/>
  <c r="D44" i="98"/>
  <c r="D44" i="97"/>
  <c r="B44" i="97"/>
  <c r="C44" i="97"/>
  <c r="C91" i="6"/>
  <c r="B44" i="6"/>
  <c r="B91" i="6" s="1"/>
  <c r="C44" i="6"/>
  <c r="C45" i="6"/>
  <c r="D44" i="96"/>
  <c r="C44" i="96"/>
  <c r="B44" i="96"/>
  <c r="C43" i="97"/>
  <c r="AC46" i="70"/>
  <c r="L46" i="70"/>
  <c r="F46" i="70"/>
  <c r="G46" i="70"/>
  <c r="V46" i="70" s="1"/>
  <c r="W46" i="70" l="1"/>
  <c r="BA110" i="102"/>
  <c r="B45" i="17" l="1"/>
  <c r="B46" i="17"/>
  <c r="AK46" i="17"/>
  <c r="AJ46" i="17" s="1"/>
  <c r="AL46" i="17"/>
  <c r="AM46" i="17"/>
  <c r="AJ47" i="25" l="1"/>
  <c r="AM47" i="25" s="1"/>
  <c r="AK47" i="25"/>
  <c r="AN47" i="25" s="1"/>
  <c r="BA5" i="102"/>
  <c r="BA6" i="102"/>
  <c r="BA7" i="102"/>
  <c r="BA8" i="102"/>
  <c r="BA9" i="102"/>
  <c r="BA10" i="102"/>
  <c r="BA11" i="102"/>
  <c r="BA12" i="102"/>
  <c r="BA13" i="102"/>
  <c r="BA14" i="102"/>
  <c r="BA15" i="102"/>
  <c r="BA16" i="102"/>
  <c r="BA17" i="102"/>
  <c r="BA18" i="102"/>
  <c r="BA19" i="102"/>
  <c r="BA20" i="102"/>
  <c r="BA21" i="102"/>
  <c r="BA22" i="102"/>
  <c r="BA23" i="102"/>
  <c r="BA24" i="102"/>
  <c r="BA25" i="102"/>
  <c r="BA26" i="102"/>
  <c r="BA27" i="102"/>
  <c r="BA28" i="102"/>
  <c r="BA29" i="102"/>
  <c r="BA30" i="102"/>
  <c r="BA31" i="102"/>
  <c r="BA32" i="102"/>
  <c r="BA33" i="102"/>
  <c r="BA34" i="102"/>
  <c r="BA35" i="102"/>
  <c r="BA36" i="102"/>
  <c r="BA37" i="102"/>
  <c r="BA38" i="102"/>
  <c r="BA39" i="102"/>
  <c r="BA40" i="102"/>
  <c r="BA41" i="102"/>
  <c r="BA42" i="102"/>
  <c r="BA43" i="102"/>
  <c r="BA44" i="102"/>
  <c r="BA45" i="102"/>
  <c r="BA46" i="102"/>
  <c r="BA47" i="102"/>
  <c r="BA48" i="102"/>
  <c r="BA49" i="102"/>
  <c r="BA50" i="102"/>
  <c r="BA51" i="102"/>
  <c r="BA52" i="102"/>
  <c r="BA53" i="102"/>
  <c r="BA54" i="102"/>
  <c r="BA55" i="102"/>
  <c r="BA56" i="102"/>
  <c r="BA57" i="102"/>
  <c r="BA58" i="102"/>
  <c r="BA59" i="102"/>
  <c r="BA60" i="102"/>
  <c r="BA61" i="102"/>
  <c r="BA62" i="102"/>
  <c r="BA63" i="102"/>
  <c r="BA64" i="102"/>
  <c r="BA65" i="102"/>
  <c r="BA66" i="102"/>
  <c r="BA67" i="102"/>
  <c r="BA68" i="102"/>
  <c r="BA69" i="102"/>
  <c r="BA70" i="102"/>
  <c r="BA71" i="102"/>
  <c r="BA72" i="102"/>
  <c r="BA73" i="102"/>
  <c r="BA74" i="102"/>
  <c r="BA75" i="102"/>
  <c r="BA76" i="102"/>
  <c r="BA77" i="102"/>
  <c r="BA78" i="102"/>
  <c r="BA79" i="102"/>
  <c r="BA80" i="102"/>
  <c r="BA81" i="102"/>
  <c r="BA82" i="102"/>
  <c r="BA83" i="102"/>
  <c r="BA84" i="102"/>
  <c r="BA85" i="102"/>
  <c r="BA86" i="102"/>
  <c r="BA87" i="102"/>
  <c r="BA88" i="102"/>
  <c r="BA89" i="102"/>
  <c r="BA90" i="102"/>
  <c r="BA91" i="102"/>
  <c r="BA92" i="102"/>
  <c r="BA93" i="102"/>
  <c r="BA94" i="102"/>
  <c r="BA95" i="102"/>
  <c r="BA96" i="102"/>
  <c r="BA97" i="102"/>
  <c r="BA98" i="102"/>
  <c r="BA99" i="102"/>
  <c r="BA100" i="102"/>
  <c r="BA101" i="102"/>
  <c r="BA102" i="102"/>
  <c r="BA103" i="102"/>
  <c r="BA104" i="102"/>
  <c r="BA105" i="102"/>
  <c r="BA106" i="102"/>
  <c r="BA107" i="102"/>
  <c r="BA108" i="102"/>
  <c r="BA109" i="102"/>
  <c r="BA4" i="102"/>
  <c r="AP47" i="25" l="1"/>
  <c r="X46" i="70" s="1"/>
  <c r="Z46" i="70" s="1"/>
  <c r="D46" i="17"/>
  <c r="C46" i="17"/>
  <c r="F45" i="70"/>
  <c r="G45" i="70" s="1"/>
  <c r="L45" i="70"/>
  <c r="C44" i="17"/>
  <c r="C45" i="17"/>
  <c r="W45" i="70" l="1"/>
  <c r="V45" i="70"/>
  <c r="A113" i="54"/>
  <c r="D113" i="54"/>
  <c r="B113" i="54"/>
  <c r="F113" i="54"/>
  <c r="C113" i="54"/>
  <c r="AB45" i="70" s="1"/>
  <c r="F128" i="54" l="1"/>
  <c r="F106" i="54"/>
  <c r="F6" i="54"/>
  <c r="F3" i="54"/>
  <c r="F33" i="54"/>
  <c r="F10" i="54"/>
  <c r="F70" i="54"/>
  <c r="F69" i="54"/>
  <c r="D45" i="17" l="1"/>
  <c r="B29" i="53" l="1"/>
  <c r="B1109" i="53" l="1"/>
  <c r="B1108" i="53"/>
  <c r="AL53" i="25" l="1"/>
  <c r="AO53" i="25"/>
  <c r="AL46" i="25"/>
  <c r="AO46" i="25"/>
  <c r="AL45" i="25"/>
  <c r="AO45" i="25"/>
  <c r="AO50" i="95"/>
  <c r="AN50" i="95"/>
  <c r="AM50" i="95"/>
  <c r="AL50" i="95"/>
  <c r="AO50" i="94"/>
  <c r="AN50" i="94"/>
  <c r="AM50" i="94"/>
  <c r="AL50" i="94"/>
  <c r="AO50" i="93"/>
  <c r="AN50" i="93"/>
  <c r="AM50" i="93"/>
  <c r="AL50" i="93"/>
  <c r="AO50" i="92"/>
  <c r="AN50" i="92"/>
  <c r="AM50" i="92"/>
  <c r="AL50" i="92"/>
  <c r="AO50" i="91"/>
  <c r="AN50" i="91"/>
  <c r="AM50" i="91"/>
  <c r="AL50" i="91"/>
  <c r="AO50" i="90"/>
  <c r="AN50" i="90"/>
  <c r="AM50" i="90"/>
  <c r="AL50" i="90"/>
  <c r="AO50" i="89"/>
  <c r="AN50" i="89"/>
  <c r="AM50" i="89"/>
  <c r="AL50" i="89"/>
  <c r="AO50" i="88"/>
  <c r="AN50" i="88"/>
  <c r="AM50" i="88"/>
  <c r="AL50" i="88"/>
  <c r="AO50" i="87"/>
  <c r="AN50" i="87"/>
  <c r="AM50" i="87"/>
  <c r="AL50" i="87"/>
  <c r="AO50" i="86"/>
  <c r="AN50" i="86"/>
  <c r="AM50" i="86"/>
  <c r="AL50" i="86"/>
  <c r="AO50" i="85"/>
  <c r="AN50" i="85"/>
  <c r="AM50" i="85"/>
  <c r="AL50" i="85"/>
  <c r="AO50" i="84"/>
  <c r="AN50" i="84"/>
  <c r="AM50" i="84"/>
  <c r="AL50" i="84"/>
  <c r="AN50" i="83"/>
  <c r="AO50" i="83"/>
  <c r="AL50" i="83"/>
  <c r="AM50" i="83"/>
  <c r="AL50" i="82"/>
  <c r="AM50" i="82"/>
  <c r="AM50" i="81"/>
  <c r="AN50" i="81"/>
  <c r="AO50" i="81"/>
  <c r="AL50" i="81"/>
  <c r="AM50" i="80"/>
  <c r="AN50" i="80"/>
  <c r="AO50" i="80"/>
  <c r="AL50" i="80"/>
  <c r="AM50" i="79"/>
  <c r="AN50" i="79"/>
  <c r="AO50" i="79"/>
  <c r="AL50" i="79"/>
  <c r="AM50" i="78"/>
  <c r="AN50" i="78"/>
  <c r="AO50" i="78"/>
  <c r="AL50" i="78"/>
  <c r="AM50" i="77"/>
  <c r="AN50" i="77"/>
  <c r="AO50" i="77"/>
  <c r="AL50" i="77"/>
  <c r="AM50" i="76"/>
  <c r="AN50" i="76"/>
  <c r="AO50" i="76"/>
  <c r="AL50" i="76"/>
  <c r="AM50" i="75"/>
  <c r="AN50" i="75"/>
  <c r="AO50" i="75"/>
  <c r="AL50" i="75"/>
  <c r="AM50" i="74"/>
  <c r="AN50" i="74"/>
  <c r="AO50" i="74"/>
  <c r="AL50" i="74"/>
  <c r="AM50" i="73"/>
  <c r="AN50" i="73"/>
  <c r="AO50" i="73"/>
  <c r="AL50" i="73"/>
  <c r="AM50" i="72"/>
  <c r="AN50" i="72"/>
  <c r="AO50" i="72"/>
  <c r="AL50" i="72"/>
  <c r="AM50" i="7"/>
  <c r="AN50" i="7"/>
  <c r="AO50" i="7"/>
  <c r="AL50" i="7"/>
  <c r="AM50" i="101"/>
  <c r="AN50" i="101"/>
  <c r="AO50" i="101"/>
  <c r="AL50" i="101"/>
  <c r="AM50" i="99"/>
  <c r="AL50" i="99"/>
  <c r="AM50" i="98"/>
  <c r="AN50" i="98"/>
  <c r="AO50" i="98"/>
  <c r="AL50" i="98"/>
  <c r="AM50" i="97"/>
  <c r="AN50" i="97"/>
  <c r="AO50" i="97"/>
  <c r="AL50" i="97"/>
  <c r="AM50" i="96"/>
  <c r="AN50" i="96"/>
  <c r="AO50" i="96"/>
  <c r="AL50" i="96"/>
  <c r="BZ32" i="6"/>
  <c r="CA32" i="6"/>
  <c r="BY32" i="6"/>
  <c r="BT93" i="6"/>
  <c r="BF92" i="6"/>
  <c r="BH92" i="6"/>
  <c r="BF93" i="6"/>
  <c r="BH93" i="6"/>
  <c r="BF94" i="6"/>
  <c r="BH94" i="6"/>
  <c r="BF95" i="6"/>
  <c r="BH95" i="6"/>
  <c r="BF96" i="6"/>
  <c r="BH96" i="6"/>
  <c r="D49" i="6"/>
  <c r="D43" i="6"/>
  <c r="D90" i="6" s="1"/>
  <c r="F52" i="70"/>
  <c r="G52" i="70" s="1"/>
  <c r="L52" i="70"/>
  <c r="C48" i="17"/>
  <c r="AC52" i="70"/>
  <c r="B1130" i="53" s="1"/>
  <c r="AC45" i="70"/>
  <c r="B1101" i="53" s="1"/>
  <c r="AL40" i="17"/>
  <c r="M38" i="24" s="1"/>
  <c r="AL39" i="17"/>
  <c r="A49" i="95"/>
  <c r="B49" i="95"/>
  <c r="C49" i="95"/>
  <c r="D49" i="95"/>
  <c r="A43" i="95"/>
  <c r="B43" i="95"/>
  <c r="C43" i="95"/>
  <c r="D43" i="95"/>
  <c r="AK44" i="17"/>
  <c r="AL44" i="17"/>
  <c r="AM44" i="17"/>
  <c r="A49" i="94"/>
  <c r="B49" i="94"/>
  <c r="C49" i="94"/>
  <c r="D49" i="94"/>
  <c r="A43" i="94"/>
  <c r="B43" i="94"/>
  <c r="C43" i="94"/>
  <c r="D43" i="94"/>
  <c r="A49" i="93"/>
  <c r="B49" i="93"/>
  <c r="C49" i="93"/>
  <c r="D49" i="93"/>
  <c r="A43" i="93"/>
  <c r="B43" i="93"/>
  <c r="C43" i="93"/>
  <c r="D43" i="93"/>
  <c r="A49" i="92"/>
  <c r="B49" i="92"/>
  <c r="C49" i="92"/>
  <c r="D49" i="92"/>
  <c r="A43" i="92"/>
  <c r="B43" i="92"/>
  <c r="C43" i="92"/>
  <c r="D43" i="92"/>
  <c r="A49" i="91"/>
  <c r="B49" i="91"/>
  <c r="C49" i="91"/>
  <c r="D49" i="91"/>
  <c r="A43" i="91"/>
  <c r="B43" i="91"/>
  <c r="C43" i="91"/>
  <c r="D43" i="91"/>
  <c r="A49" i="90"/>
  <c r="B49" i="90"/>
  <c r="C49" i="90"/>
  <c r="D49" i="90"/>
  <c r="A43" i="90"/>
  <c r="B43" i="90"/>
  <c r="C43" i="90"/>
  <c r="D43" i="90"/>
  <c r="A49" i="89"/>
  <c r="B49" i="89"/>
  <c r="C49" i="89"/>
  <c r="D49" i="89"/>
  <c r="A43" i="89"/>
  <c r="B43" i="89"/>
  <c r="C43" i="89"/>
  <c r="D43" i="89"/>
  <c r="A49" i="88"/>
  <c r="B49" i="88"/>
  <c r="C49" i="88"/>
  <c r="D49" i="88"/>
  <c r="A43" i="88"/>
  <c r="B43" i="88"/>
  <c r="C43" i="88"/>
  <c r="D43" i="88"/>
  <c r="A49" i="87"/>
  <c r="B49" i="87"/>
  <c r="C49" i="87"/>
  <c r="D49" i="87"/>
  <c r="A43" i="87"/>
  <c r="B43" i="87"/>
  <c r="C43" i="87"/>
  <c r="D43" i="87"/>
  <c r="A49" i="86"/>
  <c r="B49" i="86"/>
  <c r="C49" i="86"/>
  <c r="D49" i="86"/>
  <c r="A43" i="86"/>
  <c r="B43" i="86"/>
  <c r="C43" i="86"/>
  <c r="D43" i="86"/>
  <c r="A49" i="85"/>
  <c r="B49" i="85"/>
  <c r="C49" i="85"/>
  <c r="D49" i="85"/>
  <c r="A43" i="85"/>
  <c r="B43" i="85"/>
  <c r="C43" i="85"/>
  <c r="D43" i="85"/>
  <c r="A49" i="84"/>
  <c r="B49" i="84"/>
  <c r="C49" i="84"/>
  <c r="D49" i="84"/>
  <c r="A43" i="84"/>
  <c r="B43" i="84"/>
  <c r="C43" i="84"/>
  <c r="D43" i="84"/>
  <c r="A49" i="83"/>
  <c r="B49" i="83"/>
  <c r="C49" i="83"/>
  <c r="D49" i="83"/>
  <c r="A43" i="83"/>
  <c r="B43" i="83"/>
  <c r="C43" i="83"/>
  <c r="D43" i="83"/>
  <c r="A49" i="82"/>
  <c r="B49" i="82"/>
  <c r="C49" i="82"/>
  <c r="D49" i="82"/>
  <c r="A43" i="82"/>
  <c r="B43" i="82"/>
  <c r="C43" i="82"/>
  <c r="D43" i="82"/>
  <c r="A49" i="81"/>
  <c r="B49" i="81"/>
  <c r="C49" i="81"/>
  <c r="D49" i="81"/>
  <c r="A43" i="81"/>
  <c r="B43" i="81"/>
  <c r="C43" i="81"/>
  <c r="D43" i="81"/>
  <c r="A49" i="80"/>
  <c r="B49" i="80"/>
  <c r="C49" i="80"/>
  <c r="D49" i="80"/>
  <c r="A43" i="80"/>
  <c r="B43" i="80"/>
  <c r="C43" i="80"/>
  <c r="D43" i="80"/>
  <c r="A49" i="79"/>
  <c r="B49" i="79"/>
  <c r="C49" i="79"/>
  <c r="D49" i="79"/>
  <c r="A43" i="79"/>
  <c r="B43" i="79"/>
  <c r="C43" i="79"/>
  <c r="D43" i="79"/>
  <c r="A49" i="78"/>
  <c r="B49" i="78"/>
  <c r="C49" i="78"/>
  <c r="D49" i="78"/>
  <c r="A43" i="78"/>
  <c r="B43" i="78"/>
  <c r="C43" i="78"/>
  <c r="D43" i="78"/>
  <c r="A49" i="77"/>
  <c r="B49" i="77"/>
  <c r="C49" i="77"/>
  <c r="D49" i="77"/>
  <c r="A43" i="77"/>
  <c r="B43" i="77"/>
  <c r="C43" i="77"/>
  <c r="D43" i="77"/>
  <c r="A49" i="76"/>
  <c r="B49" i="76"/>
  <c r="C49" i="76"/>
  <c r="D49" i="76"/>
  <c r="A43" i="76"/>
  <c r="B43" i="76"/>
  <c r="C43" i="76"/>
  <c r="D43" i="76"/>
  <c r="A49" i="75"/>
  <c r="B49" i="75"/>
  <c r="C49" i="75"/>
  <c r="D49" i="75"/>
  <c r="A43" i="75"/>
  <c r="B43" i="75"/>
  <c r="C43" i="75"/>
  <c r="D43" i="75"/>
  <c r="A49" i="74"/>
  <c r="B49" i="74"/>
  <c r="C49" i="74"/>
  <c r="D49" i="74"/>
  <c r="A43" i="74"/>
  <c r="B43" i="74"/>
  <c r="C43" i="74"/>
  <c r="D43" i="74"/>
  <c r="A49" i="73"/>
  <c r="B49" i="73"/>
  <c r="C49" i="73"/>
  <c r="D49" i="73"/>
  <c r="A43" i="73"/>
  <c r="B43" i="73"/>
  <c r="C43" i="73"/>
  <c r="D43" i="73"/>
  <c r="A49" i="72"/>
  <c r="B49" i="72"/>
  <c r="C49" i="72"/>
  <c r="D49" i="72"/>
  <c r="A43" i="72"/>
  <c r="B43" i="72"/>
  <c r="C43" i="72"/>
  <c r="D43" i="72"/>
  <c r="A49" i="7"/>
  <c r="B49" i="7"/>
  <c r="C49" i="7"/>
  <c r="D49" i="7"/>
  <c r="A43" i="7"/>
  <c r="B43" i="7"/>
  <c r="C43" i="7"/>
  <c r="D43" i="7"/>
  <c r="A49" i="100"/>
  <c r="B49" i="100"/>
  <c r="C49" i="100"/>
  <c r="D49" i="100"/>
  <c r="A43" i="100"/>
  <c r="B43" i="100"/>
  <c r="C43" i="100"/>
  <c r="D43" i="100"/>
  <c r="A49" i="101"/>
  <c r="B49" i="101"/>
  <c r="C49" i="101"/>
  <c r="D49" i="101"/>
  <c r="A43" i="101"/>
  <c r="B43" i="101"/>
  <c r="C43" i="101"/>
  <c r="D43" i="101"/>
  <c r="A49" i="99"/>
  <c r="B49" i="99"/>
  <c r="C49" i="99"/>
  <c r="D49" i="99"/>
  <c r="A43" i="99"/>
  <c r="B43" i="99"/>
  <c r="C43" i="99"/>
  <c r="D43" i="99"/>
  <c r="A49" i="98"/>
  <c r="B49" i="98"/>
  <c r="C49" i="98"/>
  <c r="D49" i="98"/>
  <c r="A43" i="98"/>
  <c r="B43" i="98"/>
  <c r="C43" i="98"/>
  <c r="D43" i="98"/>
  <c r="A49" i="97"/>
  <c r="B49" i="97"/>
  <c r="C49" i="97"/>
  <c r="D49" i="97"/>
  <c r="A42" i="97"/>
  <c r="B42" i="97"/>
  <c r="C42" i="97"/>
  <c r="D42" i="97"/>
  <c r="B49" i="96"/>
  <c r="C49" i="96"/>
  <c r="D49" i="96"/>
  <c r="A43" i="96"/>
  <c r="B43" i="96"/>
  <c r="C43" i="96"/>
  <c r="D43" i="96"/>
  <c r="A42" i="96"/>
  <c r="B42" i="96"/>
  <c r="C42" i="96"/>
  <c r="D42" i="96"/>
  <c r="A45" i="96"/>
  <c r="B45" i="96"/>
  <c r="C45" i="96"/>
  <c r="D45" i="96"/>
  <c r="A46" i="96"/>
  <c r="B46" i="96"/>
  <c r="C46" i="96"/>
  <c r="D46" i="96"/>
  <c r="A47" i="96"/>
  <c r="B47" i="96"/>
  <c r="C47" i="96"/>
  <c r="D47" i="96"/>
  <c r="A48" i="96"/>
  <c r="B48" i="96"/>
  <c r="C48" i="96"/>
  <c r="D48" i="96"/>
  <c r="C41" i="96"/>
  <c r="B49" i="6"/>
  <c r="B96" i="6" s="1"/>
  <c r="C49" i="6"/>
  <c r="C96" i="6" s="1"/>
  <c r="B43" i="6"/>
  <c r="B90" i="6" s="1"/>
  <c r="C43" i="6"/>
  <c r="C90" i="6" s="1"/>
  <c r="D52" i="17"/>
  <c r="C52" i="17"/>
  <c r="B51" i="17"/>
  <c r="B52" i="17"/>
  <c r="AK52" i="17"/>
  <c r="AJ52" i="17" s="1"/>
  <c r="AL52" i="17"/>
  <c r="AM52" i="17"/>
  <c r="AK45" i="17"/>
  <c r="AL45" i="17"/>
  <c r="AM45" i="17"/>
  <c r="A14" i="96"/>
  <c r="A15" i="96"/>
  <c r="A16" i="96"/>
  <c r="A17" i="96"/>
  <c r="A18" i="96"/>
  <c r="D48" i="95"/>
  <c r="C48" i="95"/>
  <c r="B48" i="95"/>
  <c r="A48" i="95"/>
  <c r="D47" i="95"/>
  <c r="C47" i="95"/>
  <c r="B47" i="95"/>
  <c r="A47" i="95"/>
  <c r="D46" i="95"/>
  <c r="C46" i="95"/>
  <c r="B46" i="95"/>
  <c r="A46" i="95"/>
  <c r="D45" i="95"/>
  <c r="C45" i="95"/>
  <c r="B45" i="95"/>
  <c r="D42" i="95"/>
  <c r="C42" i="95"/>
  <c r="B42" i="95"/>
  <c r="A42" i="95"/>
  <c r="D41" i="95"/>
  <c r="C41" i="95"/>
  <c r="B41" i="95"/>
  <c r="A41" i="95"/>
  <c r="D40" i="95"/>
  <c r="C40" i="95"/>
  <c r="B40" i="95"/>
  <c r="A40" i="95"/>
  <c r="D39" i="95"/>
  <c r="C39" i="95"/>
  <c r="B39" i="95"/>
  <c r="A39" i="95"/>
  <c r="D38" i="95"/>
  <c r="C38" i="95"/>
  <c r="B38" i="95"/>
  <c r="A38" i="95"/>
  <c r="D37" i="95"/>
  <c r="C37" i="95"/>
  <c r="B37" i="95"/>
  <c r="A37" i="95"/>
  <c r="D36" i="95"/>
  <c r="C36" i="95"/>
  <c r="B36" i="95"/>
  <c r="A36" i="95"/>
  <c r="D35" i="95"/>
  <c r="C35" i="95"/>
  <c r="B35" i="95"/>
  <c r="A35" i="95"/>
  <c r="D34" i="95"/>
  <c r="C34" i="95"/>
  <c r="B34" i="95"/>
  <c r="A34" i="95"/>
  <c r="D33" i="95"/>
  <c r="C33" i="95"/>
  <c r="B33" i="95"/>
  <c r="A33" i="95"/>
  <c r="D32" i="95"/>
  <c r="C32" i="95"/>
  <c r="B32" i="95"/>
  <c r="A32" i="95"/>
  <c r="D31" i="95"/>
  <c r="C31" i="95"/>
  <c r="B31" i="95"/>
  <c r="A31" i="95"/>
  <c r="D30" i="95"/>
  <c r="C30" i="95"/>
  <c r="B30" i="95"/>
  <c r="A30" i="95"/>
  <c r="D29" i="95"/>
  <c r="C29" i="95"/>
  <c r="B29" i="95"/>
  <c r="A29" i="95"/>
  <c r="D28" i="95"/>
  <c r="C28" i="95"/>
  <c r="B28" i="95"/>
  <c r="A28" i="95"/>
  <c r="D27" i="95"/>
  <c r="C27" i="95"/>
  <c r="B27" i="95"/>
  <c r="A27" i="95"/>
  <c r="D26" i="95"/>
  <c r="C26" i="95"/>
  <c r="B26" i="95"/>
  <c r="A26" i="95"/>
  <c r="D25" i="95"/>
  <c r="C25" i="95"/>
  <c r="B25" i="95"/>
  <c r="A25" i="95"/>
  <c r="D24" i="95"/>
  <c r="C24" i="95"/>
  <c r="B24" i="95"/>
  <c r="A24" i="95"/>
  <c r="D23" i="95"/>
  <c r="C23" i="95"/>
  <c r="B23" i="95"/>
  <c r="A23" i="95"/>
  <c r="D22" i="95"/>
  <c r="C22" i="95"/>
  <c r="B22" i="95"/>
  <c r="A22" i="95"/>
  <c r="D21" i="95"/>
  <c r="C21" i="95"/>
  <c r="B21" i="95"/>
  <c r="A21" i="95"/>
  <c r="D20" i="95"/>
  <c r="C20" i="95"/>
  <c r="B20" i="95"/>
  <c r="A20" i="95"/>
  <c r="D19" i="95"/>
  <c r="C19" i="95"/>
  <c r="B19" i="95"/>
  <c r="A19" i="95"/>
  <c r="D18" i="95"/>
  <c r="C18" i="95"/>
  <c r="B18" i="95"/>
  <c r="A18" i="95"/>
  <c r="D17" i="95"/>
  <c r="C17" i="95"/>
  <c r="B17" i="95"/>
  <c r="D16" i="95"/>
  <c r="C16" i="95"/>
  <c r="B16" i="95"/>
  <c r="A16" i="95"/>
  <c r="D15" i="95"/>
  <c r="C15" i="95"/>
  <c r="B15" i="95"/>
  <c r="D14" i="95"/>
  <c r="C14" i="95"/>
  <c r="B14" i="95"/>
  <c r="A14" i="95"/>
  <c r="D13" i="95"/>
  <c r="C13" i="95"/>
  <c r="B13" i="95"/>
  <c r="A13" i="95"/>
  <c r="D12" i="95"/>
  <c r="C12" i="95"/>
  <c r="B12" i="95"/>
  <c r="A12" i="95"/>
  <c r="D11" i="95"/>
  <c r="C11" i="95"/>
  <c r="B11" i="95"/>
  <c r="A11" i="95"/>
  <c r="D10" i="95"/>
  <c r="C10" i="95"/>
  <c r="B10" i="95"/>
  <c r="A10" i="95"/>
  <c r="D9" i="95"/>
  <c r="C9" i="95"/>
  <c r="B9" i="95"/>
  <c r="A9" i="95"/>
  <c r="D8" i="95"/>
  <c r="C8" i="95"/>
  <c r="B8" i="95"/>
  <c r="A8" i="95"/>
  <c r="D7" i="95"/>
  <c r="C7" i="95"/>
  <c r="B7" i="95"/>
  <c r="A7" i="95"/>
  <c r="D6" i="95"/>
  <c r="C6" i="95"/>
  <c r="B6" i="95"/>
  <c r="A6" i="95"/>
  <c r="D48" i="94"/>
  <c r="C48" i="94"/>
  <c r="B48" i="94"/>
  <c r="A48" i="94"/>
  <c r="D47" i="94"/>
  <c r="C47" i="94"/>
  <c r="B47" i="94"/>
  <c r="A47" i="94"/>
  <c r="D46" i="94"/>
  <c r="C46" i="94"/>
  <c r="B46" i="94"/>
  <c r="A46" i="94"/>
  <c r="D45" i="94"/>
  <c r="C45" i="94"/>
  <c r="B45" i="94"/>
  <c r="D42" i="94"/>
  <c r="C42" i="94"/>
  <c r="B42" i="94"/>
  <c r="A42" i="94"/>
  <c r="D41" i="94"/>
  <c r="C41" i="94"/>
  <c r="B41" i="94"/>
  <c r="A41" i="94"/>
  <c r="D40" i="94"/>
  <c r="C40" i="94"/>
  <c r="B40" i="94"/>
  <c r="A40" i="94"/>
  <c r="D39" i="94"/>
  <c r="C39" i="94"/>
  <c r="B39" i="94"/>
  <c r="A39" i="94"/>
  <c r="D38" i="94"/>
  <c r="C38" i="94"/>
  <c r="B38" i="94"/>
  <c r="A38" i="94"/>
  <c r="D37" i="94"/>
  <c r="C37" i="94"/>
  <c r="B37" i="94"/>
  <c r="A37" i="94"/>
  <c r="D36" i="94"/>
  <c r="C36" i="94"/>
  <c r="B36" i="94"/>
  <c r="A36" i="94"/>
  <c r="D35" i="94"/>
  <c r="C35" i="94"/>
  <c r="B35" i="94"/>
  <c r="A35" i="94"/>
  <c r="D34" i="94"/>
  <c r="C34" i="94"/>
  <c r="B34" i="94"/>
  <c r="A34" i="94"/>
  <c r="D33" i="94"/>
  <c r="C33" i="94"/>
  <c r="B33" i="94"/>
  <c r="A33" i="94"/>
  <c r="D32" i="94"/>
  <c r="C32" i="94"/>
  <c r="B32" i="94"/>
  <c r="A32" i="94"/>
  <c r="D31" i="94"/>
  <c r="C31" i="94"/>
  <c r="B31" i="94"/>
  <c r="A31" i="94"/>
  <c r="D30" i="94"/>
  <c r="C30" i="94"/>
  <c r="B30" i="94"/>
  <c r="A30" i="94"/>
  <c r="D29" i="94"/>
  <c r="C29" i="94"/>
  <c r="B29" i="94"/>
  <c r="A29" i="94"/>
  <c r="D28" i="94"/>
  <c r="C28" i="94"/>
  <c r="B28" i="94"/>
  <c r="A28" i="94"/>
  <c r="D27" i="94"/>
  <c r="C27" i="94"/>
  <c r="B27" i="94"/>
  <c r="A27" i="94"/>
  <c r="D26" i="94"/>
  <c r="C26" i="94"/>
  <c r="B26" i="94"/>
  <c r="A26" i="94"/>
  <c r="D25" i="94"/>
  <c r="C25" i="94"/>
  <c r="B25" i="94"/>
  <c r="A25" i="94"/>
  <c r="D24" i="94"/>
  <c r="C24" i="94"/>
  <c r="B24" i="94"/>
  <c r="A24" i="94"/>
  <c r="D23" i="94"/>
  <c r="C23" i="94"/>
  <c r="B23" i="94"/>
  <c r="A23" i="94"/>
  <c r="D22" i="94"/>
  <c r="C22" i="94"/>
  <c r="B22" i="94"/>
  <c r="A22" i="94"/>
  <c r="D21" i="94"/>
  <c r="C21" i="94"/>
  <c r="B21" i="94"/>
  <c r="A21" i="94"/>
  <c r="D20" i="94"/>
  <c r="C20" i="94"/>
  <c r="B20" i="94"/>
  <c r="A20" i="94"/>
  <c r="D19" i="94"/>
  <c r="C19" i="94"/>
  <c r="B19" i="94"/>
  <c r="A19" i="94"/>
  <c r="D18" i="94"/>
  <c r="C18" i="94"/>
  <c r="B18" i="94"/>
  <c r="A18" i="94"/>
  <c r="D17" i="94"/>
  <c r="C17" i="94"/>
  <c r="B17" i="94"/>
  <c r="D16" i="94"/>
  <c r="C16" i="94"/>
  <c r="B16" i="94"/>
  <c r="A16" i="94"/>
  <c r="D15" i="94"/>
  <c r="C15" i="94"/>
  <c r="B15" i="94"/>
  <c r="D14" i="94"/>
  <c r="C14" i="94"/>
  <c r="B14" i="94"/>
  <c r="A14" i="94"/>
  <c r="D13" i="94"/>
  <c r="C13" i="94"/>
  <c r="B13" i="94"/>
  <c r="A13" i="94"/>
  <c r="D12" i="94"/>
  <c r="C12" i="94"/>
  <c r="B12" i="94"/>
  <c r="A12" i="94"/>
  <c r="D11" i="94"/>
  <c r="C11" i="94"/>
  <c r="B11" i="94"/>
  <c r="A11" i="94"/>
  <c r="D10" i="94"/>
  <c r="C10" i="94"/>
  <c r="B10" i="94"/>
  <c r="A10" i="94"/>
  <c r="D9" i="94"/>
  <c r="C9" i="94"/>
  <c r="B9" i="94"/>
  <c r="A9" i="94"/>
  <c r="D8" i="94"/>
  <c r="C8" i="94"/>
  <c r="B8" i="94"/>
  <c r="A8" i="94"/>
  <c r="D7" i="94"/>
  <c r="C7" i="94"/>
  <c r="B7" i="94"/>
  <c r="A7" i="94"/>
  <c r="D6" i="94"/>
  <c r="C6" i="94"/>
  <c r="B6" i="94"/>
  <c r="A6" i="94"/>
  <c r="D48" i="93"/>
  <c r="C48" i="93"/>
  <c r="B48" i="93"/>
  <c r="A48" i="93"/>
  <c r="D47" i="93"/>
  <c r="C47" i="93"/>
  <c r="B47" i="93"/>
  <c r="A47" i="93"/>
  <c r="D46" i="93"/>
  <c r="C46" i="93"/>
  <c r="B46" i="93"/>
  <c r="A46" i="93"/>
  <c r="D45" i="93"/>
  <c r="C45" i="93"/>
  <c r="B45" i="93"/>
  <c r="D42" i="93"/>
  <c r="C42" i="93"/>
  <c r="B42" i="93"/>
  <c r="A42" i="93"/>
  <c r="D41" i="93"/>
  <c r="C41" i="93"/>
  <c r="B41" i="93"/>
  <c r="A41" i="93"/>
  <c r="D40" i="93"/>
  <c r="C40" i="93"/>
  <c r="B40" i="93"/>
  <c r="A40" i="93"/>
  <c r="D39" i="93"/>
  <c r="C39" i="93"/>
  <c r="B39" i="93"/>
  <c r="A39" i="93"/>
  <c r="D38" i="93"/>
  <c r="C38" i="93"/>
  <c r="B38" i="93"/>
  <c r="A38" i="93"/>
  <c r="D37" i="93"/>
  <c r="C37" i="93"/>
  <c r="B37" i="93"/>
  <c r="A37" i="93"/>
  <c r="D36" i="93"/>
  <c r="C36" i="93"/>
  <c r="B36" i="93"/>
  <c r="A36" i="93"/>
  <c r="D35" i="93"/>
  <c r="C35" i="93"/>
  <c r="B35" i="93"/>
  <c r="A35" i="93"/>
  <c r="D34" i="93"/>
  <c r="C34" i="93"/>
  <c r="B34" i="93"/>
  <c r="A34" i="93"/>
  <c r="D33" i="93"/>
  <c r="C33" i="93"/>
  <c r="B33" i="93"/>
  <c r="A33" i="93"/>
  <c r="D32" i="93"/>
  <c r="C32" i="93"/>
  <c r="B32" i="93"/>
  <c r="A32" i="93"/>
  <c r="D31" i="93"/>
  <c r="C31" i="93"/>
  <c r="B31" i="93"/>
  <c r="A31" i="93"/>
  <c r="D30" i="93"/>
  <c r="C30" i="93"/>
  <c r="B30" i="93"/>
  <c r="A30" i="93"/>
  <c r="D29" i="93"/>
  <c r="C29" i="93"/>
  <c r="B29" i="93"/>
  <c r="A29" i="93"/>
  <c r="D28" i="93"/>
  <c r="C28" i="93"/>
  <c r="B28" i="93"/>
  <c r="A28" i="93"/>
  <c r="D27" i="93"/>
  <c r="C27" i="93"/>
  <c r="B27" i="93"/>
  <c r="A27" i="93"/>
  <c r="D26" i="93"/>
  <c r="C26" i="93"/>
  <c r="B26" i="93"/>
  <c r="A26" i="93"/>
  <c r="D25" i="93"/>
  <c r="C25" i="93"/>
  <c r="B25" i="93"/>
  <c r="A25" i="93"/>
  <c r="D24" i="93"/>
  <c r="C24" i="93"/>
  <c r="B24" i="93"/>
  <c r="A24" i="93"/>
  <c r="D23" i="93"/>
  <c r="C23" i="93"/>
  <c r="B23" i="93"/>
  <c r="A23" i="93"/>
  <c r="D22" i="93"/>
  <c r="C22" i="93"/>
  <c r="B22" i="93"/>
  <c r="A22" i="93"/>
  <c r="D21" i="93"/>
  <c r="C21" i="93"/>
  <c r="B21" i="93"/>
  <c r="A21" i="93"/>
  <c r="D20" i="93"/>
  <c r="C20" i="93"/>
  <c r="B20" i="93"/>
  <c r="A20" i="93"/>
  <c r="D19" i="93"/>
  <c r="C19" i="93"/>
  <c r="B19" i="93"/>
  <c r="A19" i="93"/>
  <c r="D18" i="93"/>
  <c r="C18" i="93"/>
  <c r="B18" i="93"/>
  <c r="A18" i="93"/>
  <c r="D17" i="93"/>
  <c r="C17" i="93"/>
  <c r="B17" i="93"/>
  <c r="D16" i="93"/>
  <c r="C16" i="93"/>
  <c r="B16" i="93"/>
  <c r="A16" i="93"/>
  <c r="D15" i="93"/>
  <c r="C15" i="93"/>
  <c r="B15" i="93"/>
  <c r="D14" i="93"/>
  <c r="C14" i="93"/>
  <c r="B14" i="93"/>
  <c r="A14" i="93"/>
  <c r="D13" i="93"/>
  <c r="C13" i="93"/>
  <c r="B13" i="93"/>
  <c r="A13" i="93"/>
  <c r="D12" i="93"/>
  <c r="C12" i="93"/>
  <c r="B12" i="93"/>
  <c r="A12" i="93"/>
  <c r="D11" i="93"/>
  <c r="C11" i="93"/>
  <c r="B11" i="93"/>
  <c r="A11" i="93"/>
  <c r="D10" i="93"/>
  <c r="C10" i="93"/>
  <c r="B10" i="93"/>
  <c r="A10" i="93"/>
  <c r="D9" i="93"/>
  <c r="C9" i="93"/>
  <c r="B9" i="93"/>
  <c r="A9" i="93"/>
  <c r="D8" i="93"/>
  <c r="C8" i="93"/>
  <c r="B8" i="93"/>
  <c r="A8" i="93"/>
  <c r="D7" i="93"/>
  <c r="C7" i="93"/>
  <c r="B7" i="93"/>
  <c r="A7" i="93"/>
  <c r="D6" i="93"/>
  <c r="C6" i="93"/>
  <c r="B6" i="93"/>
  <c r="A6" i="93"/>
  <c r="D48" i="92"/>
  <c r="C48" i="92"/>
  <c r="B48" i="92"/>
  <c r="A48" i="92"/>
  <c r="D47" i="92"/>
  <c r="C47" i="92"/>
  <c r="B47" i="92"/>
  <c r="A47" i="92"/>
  <c r="D46" i="92"/>
  <c r="C46" i="92"/>
  <c r="B46" i="92"/>
  <c r="A46" i="92"/>
  <c r="D45" i="92"/>
  <c r="C45" i="92"/>
  <c r="B45" i="92"/>
  <c r="D42" i="92"/>
  <c r="C42" i="92"/>
  <c r="B42" i="92"/>
  <c r="A42" i="92"/>
  <c r="D41" i="92"/>
  <c r="C41" i="92"/>
  <c r="B41" i="92"/>
  <c r="A41" i="92"/>
  <c r="D40" i="92"/>
  <c r="C40" i="92"/>
  <c r="B40" i="92"/>
  <c r="A40" i="92"/>
  <c r="D39" i="92"/>
  <c r="C39" i="92"/>
  <c r="B39" i="92"/>
  <c r="A39" i="92"/>
  <c r="D38" i="92"/>
  <c r="C38" i="92"/>
  <c r="B38" i="92"/>
  <c r="A38" i="92"/>
  <c r="D37" i="92"/>
  <c r="C37" i="92"/>
  <c r="B37" i="92"/>
  <c r="A37" i="92"/>
  <c r="D36" i="92"/>
  <c r="C36" i="92"/>
  <c r="B36" i="92"/>
  <c r="A36" i="92"/>
  <c r="D35" i="92"/>
  <c r="C35" i="92"/>
  <c r="B35" i="92"/>
  <c r="A35" i="92"/>
  <c r="D34" i="92"/>
  <c r="C34" i="92"/>
  <c r="B34" i="92"/>
  <c r="A34" i="92"/>
  <c r="D33" i="92"/>
  <c r="C33" i="92"/>
  <c r="B33" i="92"/>
  <c r="A33" i="92"/>
  <c r="D32" i="92"/>
  <c r="C32" i="92"/>
  <c r="B32" i="92"/>
  <c r="A32" i="92"/>
  <c r="D31" i="92"/>
  <c r="C31" i="92"/>
  <c r="B31" i="92"/>
  <c r="A31" i="92"/>
  <c r="D30" i="92"/>
  <c r="C30" i="92"/>
  <c r="B30" i="92"/>
  <c r="A30" i="92"/>
  <c r="D29" i="92"/>
  <c r="C29" i="92"/>
  <c r="B29" i="92"/>
  <c r="A29" i="92"/>
  <c r="D28" i="92"/>
  <c r="C28" i="92"/>
  <c r="B28" i="92"/>
  <c r="A28" i="92"/>
  <c r="D27" i="92"/>
  <c r="C27" i="92"/>
  <c r="B27" i="92"/>
  <c r="A27" i="92"/>
  <c r="D26" i="92"/>
  <c r="C26" i="92"/>
  <c r="B26" i="92"/>
  <c r="A26" i="92"/>
  <c r="D25" i="92"/>
  <c r="C25" i="92"/>
  <c r="B25" i="92"/>
  <c r="A25" i="92"/>
  <c r="D24" i="92"/>
  <c r="C24" i="92"/>
  <c r="B24" i="92"/>
  <c r="A24" i="92"/>
  <c r="D23" i="92"/>
  <c r="C23" i="92"/>
  <c r="B23" i="92"/>
  <c r="A23" i="92"/>
  <c r="D22" i="92"/>
  <c r="C22" i="92"/>
  <c r="B22" i="92"/>
  <c r="A22" i="92"/>
  <c r="D21" i="92"/>
  <c r="C21" i="92"/>
  <c r="B21" i="92"/>
  <c r="A21" i="92"/>
  <c r="D20" i="92"/>
  <c r="C20" i="92"/>
  <c r="B20" i="92"/>
  <c r="A20" i="92"/>
  <c r="D19" i="92"/>
  <c r="C19" i="92"/>
  <c r="B19" i="92"/>
  <c r="A19" i="92"/>
  <c r="D18" i="92"/>
  <c r="C18" i="92"/>
  <c r="B18" i="92"/>
  <c r="A18" i="92"/>
  <c r="D17" i="92"/>
  <c r="C17" i="92"/>
  <c r="B17" i="92"/>
  <c r="D16" i="92"/>
  <c r="C16" i="92"/>
  <c r="B16" i="92"/>
  <c r="A16" i="92"/>
  <c r="D15" i="92"/>
  <c r="C15" i="92"/>
  <c r="B15" i="92"/>
  <c r="D14" i="92"/>
  <c r="C14" i="92"/>
  <c r="B14" i="92"/>
  <c r="A14" i="92"/>
  <c r="D13" i="92"/>
  <c r="C13" i="92"/>
  <c r="B13" i="92"/>
  <c r="A13" i="92"/>
  <c r="D12" i="92"/>
  <c r="C12" i="92"/>
  <c r="B12" i="92"/>
  <c r="A12" i="92"/>
  <c r="D11" i="92"/>
  <c r="C11" i="92"/>
  <c r="B11" i="92"/>
  <c r="A11" i="92"/>
  <c r="D10" i="92"/>
  <c r="C10" i="92"/>
  <c r="B10" i="92"/>
  <c r="A10" i="92"/>
  <c r="D9" i="92"/>
  <c r="C9" i="92"/>
  <c r="B9" i="92"/>
  <c r="A9" i="92"/>
  <c r="D8" i="92"/>
  <c r="C8" i="92"/>
  <c r="B8" i="92"/>
  <c r="A8" i="92"/>
  <c r="D7" i="92"/>
  <c r="C7" i="92"/>
  <c r="B7" i="92"/>
  <c r="A7" i="92"/>
  <c r="D6" i="92"/>
  <c r="C6" i="92"/>
  <c r="B6" i="92"/>
  <c r="A6" i="92"/>
  <c r="D48" i="91"/>
  <c r="C48" i="91"/>
  <c r="B48" i="91"/>
  <c r="A48" i="91"/>
  <c r="D47" i="91"/>
  <c r="C47" i="91"/>
  <c r="B47" i="91"/>
  <c r="A47" i="91"/>
  <c r="D46" i="91"/>
  <c r="C46" i="91"/>
  <c r="B46" i="91"/>
  <c r="A46" i="91"/>
  <c r="D45" i="91"/>
  <c r="C45" i="91"/>
  <c r="B45" i="91"/>
  <c r="D42" i="91"/>
  <c r="C42" i="91"/>
  <c r="B42" i="91"/>
  <c r="A42" i="91"/>
  <c r="D41" i="91"/>
  <c r="C41" i="91"/>
  <c r="B41" i="91"/>
  <c r="A41" i="91"/>
  <c r="D40" i="91"/>
  <c r="C40" i="91"/>
  <c r="B40" i="91"/>
  <c r="A40" i="91"/>
  <c r="D39" i="91"/>
  <c r="C39" i="91"/>
  <c r="B39" i="91"/>
  <c r="A39" i="91"/>
  <c r="D38" i="91"/>
  <c r="C38" i="91"/>
  <c r="B38" i="91"/>
  <c r="A38" i="91"/>
  <c r="D37" i="91"/>
  <c r="C37" i="91"/>
  <c r="B37" i="91"/>
  <c r="A37" i="91"/>
  <c r="D36" i="91"/>
  <c r="C36" i="91"/>
  <c r="B36" i="91"/>
  <c r="A36" i="91"/>
  <c r="D35" i="91"/>
  <c r="C35" i="91"/>
  <c r="B35" i="91"/>
  <c r="A35" i="91"/>
  <c r="D34" i="91"/>
  <c r="C34" i="91"/>
  <c r="B34" i="91"/>
  <c r="A34" i="91"/>
  <c r="D33" i="91"/>
  <c r="C33" i="91"/>
  <c r="B33" i="91"/>
  <c r="A33" i="91"/>
  <c r="D32" i="91"/>
  <c r="C32" i="91"/>
  <c r="B32" i="91"/>
  <c r="A32" i="91"/>
  <c r="D31" i="91"/>
  <c r="C31" i="91"/>
  <c r="B31" i="91"/>
  <c r="A31" i="91"/>
  <c r="D30" i="91"/>
  <c r="C30" i="91"/>
  <c r="B30" i="91"/>
  <c r="A30" i="91"/>
  <c r="D29" i="91"/>
  <c r="C29" i="91"/>
  <c r="B29" i="91"/>
  <c r="A29" i="91"/>
  <c r="D28" i="91"/>
  <c r="C28" i="91"/>
  <c r="B28" i="91"/>
  <c r="A28" i="91"/>
  <c r="D27" i="91"/>
  <c r="C27" i="91"/>
  <c r="B27" i="91"/>
  <c r="A27" i="91"/>
  <c r="D26" i="91"/>
  <c r="C26" i="91"/>
  <c r="B26" i="91"/>
  <c r="A26" i="91"/>
  <c r="D25" i="91"/>
  <c r="C25" i="91"/>
  <c r="B25" i="91"/>
  <c r="A25" i="91"/>
  <c r="D24" i="91"/>
  <c r="C24" i="91"/>
  <c r="B24" i="91"/>
  <c r="A24" i="91"/>
  <c r="D23" i="91"/>
  <c r="C23" i="91"/>
  <c r="B23" i="91"/>
  <c r="A23" i="91"/>
  <c r="D22" i="91"/>
  <c r="C22" i="91"/>
  <c r="B22" i="91"/>
  <c r="A22" i="91"/>
  <c r="D21" i="91"/>
  <c r="C21" i="91"/>
  <c r="B21" i="91"/>
  <c r="A21" i="91"/>
  <c r="D20" i="91"/>
  <c r="C20" i="91"/>
  <c r="B20" i="91"/>
  <c r="A20" i="91"/>
  <c r="D19" i="91"/>
  <c r="C19" i="91"/>
  <c r="B19" i="91"/>
  <c r="A19" i="91"/>
  <c r="D18" i="91"/>
  <c r="C18" i="91"/>
  <c r="B18" i="91"/>
  <c r="A18" i="91"/>
  <c r="D17" i="91"/>
  <c r="C17" i="91"/>
  <c r="B17" i="91"/>
  <c r="D16" i="91"/>
  <c r="C16" i="91"/>
  <c r="B16" i="91"/>
  <c r="A16" i="91"/>
  <c r="D15" i="91"/>
  <c r="C15" i="91"/>
  <c r="B15" i="91"/>
  <c r="D14" i="91"/>
  <c r="C14" i="91"/>
  <c r="B14" i="91"/>
  <c r="A14" i="91"/>
  <c r="D13" i="91"/>
  <c r="C13" i="91"/>
  <c r="B13" i="91"/>
  <c r="A13" i="91"/>
  <c r="D12" i="91"/>
  <c r="C12" i="91"/>
  <c r="B12" i="91"/>
  <c r="A12" i="91"/>
  <c r="D11" i="91"/>
  <c r="C11" i="91"/>
  <c r="B11" i="91"/>
  <c r="A11" i="91"/>
  <c r="D10" i="91"/>
  <c r="C10" i="91"/>
  <c r="B10" i="91"/>
  <c r="A10" i="91"/>
  <c r="D9" i="91"/>
  <c r="C9" i="91"/>
  <c r="B9" i="91"/>
  <c r="A9" i="91"/>
  <c r="D8" i="91"/>
  <c r="C8" i="91"/>
  <c r="B8" i="91"/>
  <c r="A8" i="91"/>
  <c r="D7" i="91"/>
  <c r="C7" i="91"/>
  <c r="B7" i="91"/>
  <c r="A7" i="91"/>
  <c r="D6" i="91"/>
  <c r="C6" i="91"/>
  <c r="B6" i="91"/>
  <c r="A6" i="91"/>
  <c r="D48" i="90"/>
  <c r="C48" i="90"/>
  <c r="B48" i="90"/>
  <c r="A48" i="90"/>
  <c r="D47" i="90"/>
  <c r="C47" i="90"/>
  <c r="B47" i="90"/>
  <c r="A47" i="90"/>
  <c r="D46" i="90"/>
  <c r="C46" i="90"/>
  <c r="B46" i="90"/>
  <c r="A46" i="90"/>
  <c r="D45" i="90"/>
  <c r="C45" i="90"/>
  <c r="B45" i="90"/>
  <c r="D42" i="90"/>
  <c r="C42" i="90"/>
  <c r="B42" i="90"/>
  <c r="A42" i="90"/>
  <c r="D41" i="90"/>
  <c r="C41" i="90"/>
  <c r="B41" i="90"/>
  <c r="A41" i="90"/>
  <c r="D40" i="90"/>
  <c r="C40" i="90"/>
  <c r="B40" i="90"/>
  <c r="A40" i="90"/>
  <c r="D39" i="90"/>
  <c r="C39" i="90"/>
  <c r="B39" i="90"/>
  <c r="A39" i="90"/>
  <c r="D38" i="90"/>
  <c r="C38" i="90"/>
  <c r="B38" i="90"/>
  <c r="A38" i="90"/>
  <c r="D37" i="90"/>
  <c r="C37" i="90"/>
  <c r="B37" i="90"/>
  <c r="A37" i="90"/>
  <c r="D36" i="90"/>
  <c r="C36" i="90"/>
  <c r="B36" i="90"/>
  <c r="A36" i="90"/>
  <c r="D35" i="90"/>
  <c r="C35" i="90"/>
  <c r="B35" i="90"/>
  <c r="A35" i="90"/>
  <c r="D34" i="90"/>
  <c r="C34" i="90"/>
  <c r="B34" i="90"/>
  <c r="A34" i="90"/>
  <c r="D33" i="90"/>
  <c r="C33" i="90"/>
  <c r="B33" i="90"/>
  <c r="A33" i="90"/>
  <c r="D32" i="90"/>
  <c r="C32" i="90"/>
  <c r="B32" i="90"/>
  <c r="A32" i="90"/>
  <c r="D31" i="90"/>
  <c r="C31" i="90"/>
  <c r="B31" i="90"/>
  <c r="A31" i="90"/>
  <c r="D30" i="90"/>
  <c r="C30" i="90"/>
  <c r="B30" i="90"/>
  <c r="A30" i="90"/>
  <c r="D29" i="90"/>
  <c r="C29" i="90"/>
  <c r="B29" i="90"/>
  <c r="A29" i="90"/>
  <c r="D28" i="90"/>
  <c r="C28" i="90"/>
  <c r="B28" i="90"/>
  <c r="A28" i="90"/>
  <c r="D27" i="90"/>
  <c r="C27" i="90"/>
  <c r="B27" i="90"/>
  <c r="A27" i="90"/>
  <c r="D26" i="90"/>
  <c r="C26" i="90"/>
  <c r="B26" i="90"/>
  <c r="A26" i="90"/>
  <c r="D25" i="90"/>
  <c r="C25" i="90"/>
  <c r="B25" i="90"/>
  <c r="A25" i="90"/>
  <c r="D24" i="90"/>
  <c r="C24" i="90"/>
  <c r="B24" i="90"/>
  <c r="A24" i="90"/>
  <c r="D23" i="90"/>
  <c r="C23" i="90"/>
  <c r="B23" i="90"/>
  <c r="A23" i="90"/>
  <c r="D22" i="90"/>
  <c r="C22" i="90"/>
  <c r="B22" i="90"/>
  <c r="A22" i="90"/>
  <c r="D21" i="90"/>
  <c r="C21" i="90"/>
  <c r="B21" i="90"/>
  <c r="A21" i="90"/>
  <c r="D20" i="90"/>
  <c r="C20" i="90"/>
  <c r="B20" i="90"/>
  <c r="A20" i="90"/>
  <c r="D19" i="90"/>
  <c r="C19" i="90"/>
  <c r="B19" i="90"/>
  <c r="A19" i="90"/>
  <c r="D18" i="90"/>
  <c r="C18" i="90"/>
  <c r="B18" i="90"/>
  <c r="A18" i="90"/>
  <c r="D17" i="90"/>
  <c r="C17" i="90"/>
  <c r="B17" i="90"/>
  <c r="D16" i="90"/>
  <c r="C16" i="90"/>
  <c r="B16" i="90"/>
  <c r="A16" i="90"/>
  <c r="D15" i="90"/>
  <c r="C15" i="90"/>
  <c r="B15" i="90"/>
  <c r="D14" i="90"/>
  <c r="C14" i="90"/>
  <c r="B14" i="90"/>
  <c r="A14" i="90"/>
  <c r="D13" i="90"/>
  <c r="C13" i="90"/>
  <c r="B13" i="90"/>
  <c r="A13" i="90"/>
  <c r="D12" i="90"/>
  <c r="C12" i="90"/>
  <c r="B12" i="90"/>
  <c r="A12" i="90"/>
  <c r="D11" i="90"/>
  <c r="C11" i="90"/>
  <c r="B11" i="90"/>
  <c r="A11" i="90"/>
  <c r="D10" i="90"/>
  <c r="C10" i="90"/>
  <c r="B10" i="90"/>
  <c r="A10" i="90"/>
  <c r="D9" i="90"/>
  <c r="C9" i="90"/>
  <c r="B9" i="90"/>
  <c r="A9" i="90"/>
  <c r="D8" i="90"/>
  <c r="C8" i="90"/>
  <c r="B8" i="90"/>
  <c r="A8" i="90"/>
  <c r="D7" i="90"/>
  <c r="C7" i="90"/>
  <c r="B7" i="90"/>
  <c r="A7" i="90"/>
  <c r="D6" i="90"/>
  <c r="C6" i="90"/>
  <c r="B6" i="90"/>
  <c r="A6" i="90"/>
  <c r="D48" i="89"/>
  <c r="C48" i="89"/>
  <c r="B48" i="89"/>
  <c r="A48" i="89"/>
  <c r="D47" i="89"/>
  <c r="C47" i="89"/>
  <c r="B47" i="89"/>
  <c r="A47" i="89"/>
  <c r="D46" i="89"/>
  <c r="C46" i="89"/>
  <c r="B46" i="89"/>
  <c r="A46" i="89"/>
  <c r="D45" i="89"/>
  <c r="C45" i="89"/>
  <c r="B45" i="89"/>
  <c r="D42" i="89"/>
  <c r="C42" i="89"/>
  <c r="B42" i="89"/>
  <c r="A42" i="89"/>
  <c r="D41" i="89"/>
  <c r="C41" i="89"/>
  <c r="B41" i="89"/>
  <c r="A41" i="89"/>
  <c r="D40" i="89"/>
  <c r="C40" i="89"/>
  <c r="B40" i="89"/>
  <c r="A40" i="89"/>
  <c r="D39" i="89"/>
  <c r="C39" i="89"/>
  <c r="B39" i="89"/>
  <c r="A39" i="89"/>
  <c r="D38" i="89"/>
  <c r="C38" i="89"/>
  <c r="B38" i="89"/>
  <c r="A38" i="89"/>
  <c r="D37" i="89"/>
  <c r="C37" i="89"/>
  <c r="B37" i="89"/>
  <c r="A37" i="89"/>
  <c r="D36" i="89"/>
  <c r="C36" i="89"/>
  <c r="B36" i="89"/>
  <c r="A36" i="89"/>
  <c r="D35" i="89"/>
  <c r="C35" i="89"/>
  <c r="B35" i="89"/>
  <c r="A35" i="89"/>
  <c r="D34" i="89"/>
  <c r="C34" i="89"/>
  <c r="B34" i="89"/>
  <c r="A34" i="89"/>
  <c r="D33" i="89"/>
  <c r="C33" i="89"/>
  <c r="B33" i="89"/>
  <c r="A33" i="89"/>
  <c r="D32" i="89"/>
  <c r="C32" i="89"/>
  <c r="B32" i="89"/>
  <c r="A32" i="89"/>
  <c r="D31" i="89"/>
  <c r="C31" i="89"/>
  <c r="B31" i="89"/>
  <c r="A31" i="89"/>
  <c r="D30" i="89"/>
  <c r="C30" i="89"/>
  <c r="B30" i="89"/>
  <c r="A30" i="89"/>
  <c r="D29" i="89"/>
  <c r="C29" i="89"/>
  <c r="B29" i="89"/>
  <c r="A29" i="89"/>
  <c r="D28" i="89"/>
  <c r="C28" i="89"/>
  <c r="B28" i="89"/>
  <c r="A28" i="89"/>
  <c r="D27" i="89"/>
  <c r="C27" i="89"/>
  <c r="B27" i="89"/>
  <c r="A27" i="89"/>
  <c r="D26" i="89"/>
  <c r="C26" i="89"/>
  <c r="B26" i="89"/>
  <c r="A26" i="89"/>
  <c r="D25" i="89"/>
  <c r="C25" i="89"/>
  <c r="B25" i="89"/>
  <c r="A25" i="89"/>
  <c r="D24" i="89"/>
  <c r="C24" i="89"/>
  <c r="B24" i="89"/>
  <c r="A24" i="89"/>
  <c r="D23" i="89"/>
  <c r="C23" i="89"/>
  <c r="B23" i="89"/>
  <c r="A23" i="89"/>
  <c r="D22" i="89"/>
  <c r="C22" i="89"/>
  <c r="B22" i="89"/>
  <c r="A22" i="89"/>
  <c r="D21" i="89"/>
  <c r="C21" i="89"/>
  <c r="B21" i="89"/>
  <c r="A21" i="89"/>
  <c r="D20" i="89"/>
  <c r="C20" i="89"/>
  <c r="B20" i="89"/>
  <c r="A20" i="89"/>
  <c r="D19" i="89"/>
  <c r="C19" i="89"/>
  <c r="B19" i="89"/>
  <c r="A19" i="89"/>
  <c r="D18" i="89"/>
  <c r="C18" i="89"/>
  <c r="B18" i="89"/>
  <c r="A18" i="89"/>
  <c r="D17" i="89"/>
  <c r="C17" i="89"/>
  <c r="B17" i="89"/>
  <c r="D16" i="89"/>
  <c r="C16" i="89"/>
  <c r="B16" i="89"/>
  <c r="A16" i="89"/>
  <c r="D15" i="89"/>
  <c r="C15" i="89"/>
  <c r="B15" i="89"/>
  <c r="D14" i="89"/>
  <c r="C14" i="89"/>
  <c r="B14" i="89"/>
  <c r="A14" i="89"/>
  <c r="D13" i="89"/>
  <c r="C13" i="89"/>
  <c r="B13" i="89"/>
  <c r="A13" i="89"/>
  <c r="D12" i="89"/>
  <c r="C12" i="89"/>
  <c r="B12" i="89"/>
  <c r="A12" i="89"/>
  <c r="D11" i="89"/>
  <c r="C11" i="89"/>
  <c r="B11" i="89"/>
  <c r="A11" i="89"/>
  <c r="D10" i="89"/>
  <c r="C10" i="89"/>
  <c r="B10" i="89"/>
  <c r="A10" i="89"/>
  <c r="D9" i="89"/>
  <c r="C9" i="89"/>
  <c r="B9" i="89"/>
  <c r="A9" i="89"/>
  <c r="D8" i="89"/>
  <c r="C8" i="89"/>
  <c r="B8" i="89"/>
  <c r="A8" i="89"/>
  <c r="D7" i="89"/>
  <c r="C7" i="89"/>
  <c r="B7" i="89"/>
  <c r="A7" i="89"/>
  <c r="D6" i="89"/>
  <c r="C6" i="89"/>
  <c r="B6" i="89"/>
  <c r="A6" i="89"/>
  <c r="D48" i="88"/>
  <c r="C48" i="88"/>
  <c r="B48" i="88"/>
  <c r="A48" i="88"/>
  <c r="D47" i="88"/>
  <c r="C47" i="88"/>
  <c r="B47" i="88"/>
  <c r="A47" i="88"/>
  <c r="D46" i="88"/>
  <c r="C46" i="88"/>
  <c r="B46" i="88"/>
  <c r="A46" i="88"/>
  <c r="D45" i="88"/>
  <c r="C45" i="88"/>
  <c r="B45" i="88"/>
  <c r="D42" i="88"/>
  <c r="C42" i="88"/>
  <c r="B42" i="88"/>
  <c r="A42" i="88"/>
  <c r="D41" i="88"/>
  <c r="C41" i="88"/>
  <c r="B41" i="88"/>
  <c r="A41" i="88"/>
  <c r="D40" i="88"/>
  <c r="C40" i="88"/>
  <c r="B40" i="88"/>
  <c r="A40" i="88"/>
  <c r="D39" i="88"/>
  <c r="C39" i="88"/>
  <c r="B39" i="88"/>
  <c r="A39" i="88"/>
  <c r="D38" i="88"/>
  <c r="C38" i="88"/>
  <c r="B38" i="88"/>
  <c r="A38" i="88"/>
  <c r="D37" i="88"/>
  <c r="C37" i="88"/>
  <c r="B37" i="88"/>
  <c r="A37" i="88"/>
  <c r="D36" i="88"/>
  <c r="C36" i="88"/>
  <c r="B36" i="88"/>
  <c r="A36" i="88"/>
  <c r="D35" i="88"/>
  <c r="C35" i="88"/>
  <c r="B35" i="88"/>
  <c r="A35" i="88"/>
  <c r="D34" i="88"/>
  <c r="C34" i="88"/>
  <c r="B34" i="88"/>
  <c r="A34" i="88"/>
  <c r="D33" i="88"/>
  <c r="C33" i="88"/>
  <c r="B33" i="88"/>
  <c r="A33" i="88"/>
  <c r="D32" i="88"/>
  <c r="C32" i="88"/>
  <c r="B32" i="88"/>
  <c r="A32" i="88"/>
  <c r="D31" i="88"/>
  <c r="C31" i="88"/>
  <c r="B31" i="88"/>
  <c r="A31" i="88"/>
  <c r="D30" i="88"/>
  <c r="C30" i="88"/>
  <c r="B30" i="88"/>
  <c r="A30" i="88"/>
  <c r="D29" i="88"/>
  <c r="C29" i="88"/>
  <c r="B29" i="88"/>
  <c r="A29" i="88"/>
  <c r="D28" i="88"/>
  <c r="C28" i="88"/>
  <c r="B28" i="88"/>
  <c r="A28" i="88"/>
  <c r="D27" i="88"/>
  <c r="C27" i="88"/>
  <c r="B27" i="88"/>
  <c r="A27" i="88"/>
  <c r="D26" i="88"/>
  <c r="C26" i="88"/>
  <c r="B26" i="88"/>
  <c r="A26" i="88"/>
  <c r="D25" i="88"/>
  <c r="C25" i="88"/>
  <c r="B25" i="88"/>
  <c r="A25" i="88"/>
  <c r="D24" i="88"/>
  <c r="C24" i="88"/>
  <c r="B24" i="88"/>
  <c r="A24" i="88"/>
  <c r="D23" i="88"/>
  <c r="C23" i="88"/>
  <c r="B23" i="88"/>
  <c r="A23" i="88"/>
  <c r="D22" i="88"/>
  <c r="C22" i="88"/>
  <c r="B22" i="88"/>
  <c r="A22" i="88"/>
  <c r="D21" i="88"/>
  <c r="C21" i="88"/>
  <c r="B21" i="88"/>
  <c r="A21" i="88"/>
  <c r="D20" i="88"/>
  <c r="C20" i="88"/>
  <c r="B20" i="88"/>
  <c r="A20" i="88"/>
  <c r="D19" i="88"/>
  <c r="C19" i="88"/>
  <c r="B19" i="88"/>
  <c r="A19" i="88"/>
  <c r="D18" i="88"/>
  <c r="C18" i="88"/>
  <c r="B18" i="88"/>
  <c r="A18" i="88"/>
  <c r="D17" i="88"/>
  <c r="C17" i="88"/>
  <c r="B17" i="88"/>
  <c r="D16" i="88"/>
  <c r="C16" i="88"/>
  <c r="B16" i="88"/>
  <c r="A16" i="88"/>
  <c r="D15" i="88"/>
  <c r="C15" i="88"/>
  <c r="B15" i="88"/>
  <c r="D14" i="88"/>
  <c r="C14" i="88"/>
  <c r="B14" i="88"/>
  <c r="A14" i="88"/>
  <c r="D13" i="88"/>
  <c r="C13" i="88"/>
  <c r="B13" i="88"/>
  <c r="A13" i="88"/>
  <c r="D12" i="88"/>
  <c r="C12" i="88"/>
  <c r="B12" i="88"/>
  <c r="A12" i="88"/>
  <c r="D11" i="88"/>
  <c r="C11" i="88"/>
  <c r="B11" i="88"/>
  <c r="A11" i="88"/>
  <c r="D10" i="88"/>
  <c r="C10" i="88"/>
  <c r="B10" i="88"/>
  <c r="A10" i="88"/>
  <c r="D9" i="88"/>
  <c r="C9" i="88"/>
  <c r="B9" i="88"/>
  <c r="A9" i="88"/>
  <c r="D8" i="88"/>
  <c r="C8" i="88"/>
  <c r="B8" i="88"/>
  <c r="A8" i="88"/>
  <c r="D7" i="88"/>
  <c r="C7" i="88"/>
  <c r="B7" i="88"/>
  <c r="A7" i="88"/>
  <c r="D6" i="88"/>
  <c r="C6" i="88"/>
  <c r="B6" i="88"/>
  <c r="A6" i="88"/>
  <c r="D48" i="87"/>
  <c r="C48" i="87"/>
  <c r="B48" i="87"/>
  <c r="A48" i="87"/>
  <c r="D47" i="87"/>
  <c r="C47" i="87"/>
  <c r="B47" i="87"/>
  <c r="A47" i="87"/>
  <c r="D46" i="87"/>
  <c r="C46" i="87"/>
  <c r="B46" i="87"/>
  <c r="A46" i="87"/>
  <c r="D45" i="87"/>
  <c r="C45" i="87"/>
  <c r="B45" i="87"/>
  <c r="D42" i="87"/>
  <c r="C42" i="87"/>
  <c r="B42" i="87"/>
  <c r="A42" i="87"/>
  <c r="D41" i="87"/>
  <c r="C41" i="87"/>
  <c r="B41" i="87"/>
  <c r="A41" i="87"/>
  <c r="D40" i="87"/>
  <c r="C40" i="87"/>
  <c r="B40" i="87"/>
  <c r="A40" i="87"/>
  <c r="D39" i="87"/>
  <c r="C39" i="87"/>
  <c r="B39" i="87"/>
  <c r="A39" i="87"/>
  <c r="D38" i="87"/>
  <c r="C38" i="87"/>
  <c r="B38" i="87"/>
  <c r="A38" i="87"/>
  <c r="D37" i="87"/>
  <c r="C37" i="87"/>
  <c r="B37" i="87"/>
  <c r="A37" i="87"/>
  <c r="D36" i="87"/>
  <c r="C36" i="87"/>
  <c r="B36" i="87"/>
  <c r="A36" i="87"/>
  <c r="D35" i="87"/>
  <c r="C35" i="87"/>
  <c r="B35" i="87"/>
  <c r="A35" i="87"/>
  <c r="D34" i="87"/>
  <c r="C34" i="87"/>
  <c r="B34" i="87"/>
  <c r="A34" i="87"/>
  <c r="D33" i="87"/>
  <c r="C33" i="87"/>
  <c r="B33" i="87"/>
  <c r="A33" i="87"/>
  <c r="D32" i="87"/>
  <c r="C32" i="87"/>
  <c r="B32" i="87"/>
  <c r="A32" i="87"/>
  <c r="D31" i="87"/>
  <c r="C31" i="87"/>
  <c r="B31" i="87"/>
  <c r="A31" i="87"/>
  <c r="D30" i="87"/>
  <c r="C30" i="87"/>
  <c r="B30" i="87"/>
  <c r="A30" i="87"/>
  <c r="D29" i="87"/>
  <c r="C29" i="87"/>
  <c r="B29" i="87"/>
  <c r="A29" i="87"/>
  <c r="D28" i="87"/>
  <c r="C28" i="87"/>
  <c r="B28" i="87"/>
  <c r="A28" i="87"/>
  <c r="D27" i="87"/>
  <c r="C27" i="87"/>
  <c r="B27" i="87"/>
  <c r="A27" i="87"/>
  <c r="D26" i="87"/>
  <c r="C26" i="87"/>
  <c r="B26" i="87"/>
  <c r="A26" i="87"/>
  <c r="D25" i="87"/>
  <c r="C25" i="87"/>
  <c r="B25" i="87"/>
  <c r="A25" i="87"/>
  <c r="D24" i="87"/>
  <c r="C24" i="87"/>
  <c r="B24" i="87"/>
  <c r="A24" i="87"/>
  <c r="D23" i="87"/>
  <c r="C23" i="87"/>
  <c r="B23" i="87"/>
  <c r="A23" i="87"/>
  <c r="D22" i="87"/>
  <c r="C22" i="87"/>
  <c r="B22" i="87"/>
  <c r="A22" i="87"/>
  <c r="D21" i="87"/>
  <c r="C21" i="87"/>
  <c r="B21" i="87"/>
  <c r="A21" i="87"/>
  <c r="D20" i="87"/>
  <c r="C20" i="87"/>
  <c r="B20" i="87"/>
  <c r="A20" i="87"/>
  <c r="D19" i="87"/>
  <c r="C19" i="87"/>
  <c r="B19" i="87"/>
  <c r="A19" i="87"/>
  <c r="D18" i="87"/>
  <c r="C18" i="87"/>
  <c r="B18" i="87"/>
  <c r="A18" i="87"/>
  <c r="D17" i="87"/>
  <c r="C17" i="87"/>
  <c r="B17" i="87"/>
  <c r="D16" i="87"/>
  <c r="C16" i="87"/>
  <c r="B16" i="87"/>
  <c r="A16" i="87"/>
  <c r="D15" i="87"/>
  <c r="C15" i="87"/>
  <c r="B15" i="87"/>
  <c r="D14" i="87"/>
  <c r="C14" i="87"/>
  <c r="B14" i="87"/>
  <c r="A14" i="87"/>
  <c r="D13" i="87"/>
  <c r="C13" i="87"/>
  <c r="B13" i="87"/>
  <c r="A13" i="87"/>
  <c r="D12" i="87"/>
  <c r="C12" i="87"/>
  <c r="B12" i="87"/>
  <c r="A12" i="87"/>
  <c r="D11" i="87"/>
  <c r="C11" i="87"/>
  <c r="B11" i="87"/>
  <c r="A11" i="87"/>
  <c r="D10" i="87"/>
  <c r="C10" i="87"/>
  <c r="B10" i="87"/>
  <c r="A10" i="87"/>
  <c r="D9" i="87"/>
  <c r="C9" i="87"/>
  <c r="B9" i="87"/>
  <c r="A9" i="87"/>
  <c r="D8" i="87"/>
  <c r="C8" i="87"/>
  <c r="B8" i="87"/>
  <c r="A8" i="87"/>
  <c r="D7" i="87"/>
  <c r="C7" i="87"/>
  <c r="B7" i="87"/>
  <c r="A7" i="87"/>
  <c r="D6" i="87"/>
  <c r="C6" i="87"/>
  <c r="B6" i="87"/>
  <c r="A6" i="87"/>
  <c r="D48" i="86"/>
  <c r="C48" i="86"/>
  <c r="B48" i="86"/>
  <c r="A48" i="86"/>
  <c r="D47" i="86"/>
  <c r="C47" i="86"/>
  <c r="B47" i="86"/>
  <c r="A47" i="86"/>
  <c r="D46" i="86"/>
  <c r="C46" i="86"/>
  <c r="B46" i="86"/>
  <c r="A46" i="86"/>
  <c r="D45" i="86"/>
  <c r="C45" i="86"/>
  <c r="B45" i="86"/>
  <c r="D42" i="86"/>
  <c r="C42" i="86"/>
  <c r="B42" i="86"/>
  <c r="A42" i="86"/>
  <c r="D41" i="86"/>
  <c r="C41" i="86"/>
  <c r="B41" i="86"/>
  <c r="A41" i="86"/>
  <c r="D40" i="86"/>
  <c r="C40" i="86"/>
  <c r="B40" i="86"/>
  <c r="A40" i="86"/>
  <c r="D39" i="86"/>
  <c r="C39" i="86"/>
  <c r="B39" i="86"/>
  <c r="A39" i="86"/>
  <c r="D38" i="86"/>
  <c r="C38" i="86"/>
  <c r="B38" i="86"/>
  <c r="A38" i="86"/>
  <c r="D37" i="86"/>
  <c r="C37" i="86"/>
  <c r="B37" i="86"/>
  <c r="A37" i="86"/>
  <c r="D36" i="86"/>
  <c r="C36" i="86"/>
  <c r="B36" i="86"/>
  <c r="A36" i="86"/>
  <c r="D35" i="86"/>
  <c r="C35" i="86"/>
  <c r="B35" i="86"/>
  <c r="A35" i="86"/>
  <c r="D34" i="86"/>
  <c r="C34" i="86"/>
  <c r="B34" i="86"/>
  <c r="A34" i="86"/>
  <c r="D33" i="86"/>
  <c r="C33" i="86"/>
  <c r="B33" i="86"/>
  <c r="A33" i="86"/>
  <c r="D32" i="86"/>
  <c r="C32" i="86"/>
  <c r="B32" i="86"/>
  <c r="A32" i="86"/>
  <c r="D31" i="86"/>
  <c r="C31" i="86"/>
  <c r="B31" i="86"/>
  <c r="A31" i="86"/>
  <c r="D30" i="86"/>
  <c r="C30" i="86"/>
  <c r="B30" i="86"/>
  <c r="A30" i="86"/>
  <c r="D29" i="86"/>
  <c r="C29" i="86"/>
  <c r="B29" i="86"/>
  <c r="A29" i="86"/>
  <c r="D28" i="86"/>
  <c r="C28" i="86"/>
  <c r="B28" i="86"/>
  <c r="A28" i="86"/>
  <c r="D27" i="86"/>
  <c r="C27" i="86"/>
  <c r="B27" i="86"/>
  <c r="A27" i="86"/>
  <c r="D26" i="86"/>
  <c r="C26" i="86"/>
  <c r="B26" i="86"/>
  <c r="A26" i="86"/>
  <c r="D25" i="86"/>
  <c r="C25" i="86"/>
  <c r="B25" i="86"/>
  <c r="A25" i="86"/>
  <c r="D24" i="86"/>
  <c r="C24" i="86"/>
  <c r="B24" i="86"/>
  <c r="A24" i="86"/>
  <c r="D23" i="86"/>
  <c r="C23" i="86"/>
  <c r="B23" i="86"/>
  <c r="A23" i="86"/>
  <c r="D22" i="86"/>
  <c r="C22" i="86"/>
  <c r="B22" i="86"/>
  <c r="A22" i="86"/>
  <c r="D21" i="86"/>
  <c r="C21" i="86"/>
  <c r="B21" i="86"/>
  <c r="A21" i="86"/>
  <c r="D20" i="86"/>
  <c r="C20" i="86"/>
  <c r="B20" i="86"/>
  <c r="A20" i="86"/>
  <c r="D19" i="86"/>
  <c r="C19" i="86"/>
  <c r="B19" i="86"/>
  <c r="A19" i="86"/>
  <c r="D18" i="86"/>
  <c r="C18" i="86"/>
  <c r="B18" i="86"/>
  <c r="A18" i="86"/>
  <c r="D17" i="86"/>
  <c r="C17" i="86"/>
  <c r="B17" i="86"/>
  <c r="D16" i="86"/>
  <c r="C16" i="86"/>
  <c r="B16" i="86"/>
  <c r="A16" i="86"/>
  <c r="D15" i="86"/>
  <c r="C15" i="86"/>
  <c r="B15" i="86"/>
  <c r="D14" i="86"/>
  <c r="C14" i="86"/>
  <c r="B14" i="86"/>
  <c r="A14" i="86"/>
  <c r="D13" i="86"/>
  <c r="C13" i="86"/>
  <c r="B13" i="86"/>
  <c r="A13" i="86"/>
  <c r="D12" i="86"/>
  <c r="C12" i="86"/>
  <c r="B12" i="86"/>
  <c r="A12" i="86"/>
  <c r="D11" i="86"/>
  <c r="C11" i="86"/>
  <c r="B11" i="86"/>
  <c r="A11" i="86"/>
  <c r="D10" i="86"/>
  <c r="C10" i="86"/>
  <c r="B10" i="86"/>
  <c r="A10" i="86"/>
  <c r="D9" i="86"/>
  <c r="C9" i="86"/>
  <c r="B9" i="86"/>
  <c r="A9" i="86"/>
  <c r="D8" i="86"/>
  <c r="C8" i="86"/>
  <c r="B8" i="86"/>
  <c r="A8" i="86"/>
  <c r="D7" i="86"/>
  <c r="C7" i="86"/>
  <c r="B7" i="86"/>
  <c r="A7" i="86"/>
  <c r="D6" i="86"/>
  <c r="C6" i="86"/>
  <c r="B6" i="86"/>
  <c r="A6" i="86"/>
  <c r="D48" i="85"/>
  <c r="C48" i="85"/>
  <c r="B48" i="85"/>
  <c r="A48" i="85"/>
  <c r="D47" i="85"/>
  <c r="C47" i="85"/>
  <c r="B47" i="85"/>
  <c r="A47" i="85"/>
  <c r="D46" i="85"/>
  <c r="C46" i="85"/>
  <c r="B46" i="85"/>
  <c r="A46" i="85"/>
  <c r="D45" i="85"/>
  <c r="C45" i="85"/>
  <c r="B45" i="85"/>
  <c r="D42" i="85"/>
  <c r="C42" i="85"/>
  <c r="B42" i="85"/>
  <c r="A42" i="85"/>
  <c r="D41" i="85"/>
  <c r="C41" i="85"/>
  <c r="B41" i="85"/>
  <c r="A41" i="85"/>
  <c r="D40" i="85"/>
  <c r="C40" i="85"/>
  <c r="B40" i="85"/>
  <c r="A40" i="85"/>
  <c r="D39" i="85"/>
  <c r="C39" i="85"/>
  <c r="B39" i="85"/>
  <c r="A39" i="85"/>
  <c r="D38" i="85"/>
  <c r="C38" i="85"/>
  <c r="B38" i="85"/>
  <c r="A38" i="85"/>
  <c r="D37" i="85"/>
  <c r="C37" i="85"/>
  <c r="B37" i="85"/>
  <c r="A37" i="85"/>
  <c r="D36" i="85"/>
  <c r="C36" i="85"/>
  <c r="B36" i="85"/>
  <c r="A36" i="85"/>
  <c r="D35" i="85"/>
  <c r="C35" i="85"/>
  <c r="B35" i="85"/>
  <c r="A35" i="85"/>
  <c r="D34" i="85"/>
  <c r="C34" i="85"/>
  <c r="B34" i="85"/>
  <c r="A34" i="85"/>
  <c r="D33" i="85"/>
  <c r="C33" i="85"/>
  <c r="B33" i="85"/>
  <c r="A33" i="85"/>
  <c r="D32" i="85"/>
  <c r="C32" i="85"/>
  <c r="B32" i="85"/>
  <c r="A32" i="85"/>
  <c r="D31" i="85"/>
  <c r="C31" i="85"/>
  <c r="B31" i="85"/>
  <c r="A31" i="85"/>
  <c r="D30" i="85"/>
  <c r="C30" i="85"/>
  <c r="B30" i="85"/>
  <c r="A30" i="85"/>
  <c r="D29" i="85"/>
  <c r="C29" i="85"/>
  <c r="B29" i="85"/>
  <c r="A29" i="85"/>
  <c r="D28" i="85"/>
  <c r="C28" i="85"/>
  <c r="B28" i="85"/>
  <c r="A28" i="85"/>
  <c r="D27" i="85"/>
  <c r="C27" i="85"/>
  <c r="B27" i="85"/>
  <c r="A27" i="85"/>
  <c r="D26" i="85"/>
  <c r="C26" i="85"/>
  <c r="B26" i="85"/>
  <c r="A26" i="85"/>
  <c r="D25" i="85"/>
  <c r="C25" i="85"/>
  <c r="B25" i="85"/>
  <c r="A25" i="85"/>
  <c r="D24" i="85"/>
  <c r="C24" i="85"/>
  <c r="B24" i="85"/>
  <c r="A24" i="85"/>
  <c r="D23" i="85"/>
  <c r="C23" i="85"/>
  <c r="B23" i="85"/>
  <c r="A23" i="85"/>
  <c r="D22" i="85"/>
  <c r="C22" i="85"/>
  <c r="B22" i="85"/>
  <c r="A22" i="85"/>
  <c r="D21" i="85"/>
  <c r="C21" i="85"/>
  <c r="B21" i="85"/>
  <c r="A21" i="85"/>
  <c r="D20" i="85"/>
  <c r="C20" i="85"/>
  <c r="B20" i="85"/>
  <c r="A20" i="85"/>
  <c r="D19" i="85"/>
  <c r="C19" i="85"/>
  <c r="B19" i="85"/>
  <c r="A19" i="85"/>
  <c r="D18" i="85"/>
  <c r="C18" i="85"/>
  <c r="B18" i="85"/>
  <c r="A18" i="85"/>
  <c r="D17" i="85"/>
  <c r="C17" i="85"/>
  <c r="B17" i="85"/>
  <c r="D16" i="85"/>
  <c r="C16" i="85"/>
  <c r="B16" i="85"/>
  <c r="A16" i="85"/>
  <c r="D15" i="85"/>
  <c r="C15" i="85"/>
  <c r="B15" i="85"/>
  <c r="D14" i="85"/>
  <c r="C14" i="85"/>
  <c r="B14" i="85"/>
  <c r="A14" i="85"/>
  <c r="D13" i="85"/>
  <c r="C13" i="85"/>
  <c r="B13" i="85"/>
  <c r="A13" i="85"/>
  <c r="D12" i="85"/>
  <c r="C12" i="85"/>
  <c r="B12" i="85"/>
  <c r="A12" i="85"/>
  <c r="D11" i="85"/>
  <c r="C11" i="85"/>
  <c r="B11" i="85"/>
  <c r="A11" i="85"/>
  <c r="D10" i="85"/>
  <c r="C10" i="85"/>
  <c r="B10" i="85"/>
  <c r="A10" i="85"/>
  <c r="D9" i="85"/>
  <c r="C9" i="85"/>
  <c r="B9" i="85"/>
  <c r="A9" i="85"/>
  <c r="D8" i="85"/>
  <c r="C8" i="85"/>
  <c r="B8" i="85"/>
  <c r="A8" i="85"/>
  <c r="D7" i="85"/>
  <c r="C7" i="85"/>
  <c r="B7" i="85"/>
  <c r="A7" i="85"/>
  <c r="D6" i="85"/>
  <c r="C6" i="85"/>
  <c r="B6" i="85"/>
  <c r="A6" i="85"/>
  <c r="D48" i="84"/>
  <c r="C48" i="84"/>
  <c r="B48" i="84"/>
  <c r="A48" i="84"/>
  <c r="D47" i="84"/>
  <c r="C47" i="84"/>
  <c r="B47" i="84"/>
  <c r="A47" i="84"/>
  <c r="D46" i="84"/>
  <c r="C46" i="84"/>
  <c r="B46" i="84"/>
  <c r="A46" i="84"/>
  <c r="D45" i="84"/>
  <c r="C45" i="84"/>
  <c r="B45" i="84"/>
  <c r="D42" i="84"/>
  <c r="C42" i="84"/>
  <c r="B42" i="84"/>
  <c r="A42" i="84"/>
  <c r="D41" i="84"/>
  <c r="C41" i="84"/>
  <c r="B41" i="84"/>
  <c r="A41" i="84"/>
  <c r="D40" i="84"/>
  <c r="C40" i="84"/>
  <c r="B40" i="84"/>
  <c r="A40" i="84"/>
  <c r="D39" i="84"/>
  <c r="C39" i="84"/>
  <c r="B39" i="84"/>
  <c r="A39" i="84"/>
  <c r="D38" i="84"/>
  <c r="C38" i="84"/>
  <c r="B38" i="84"/>
  <c r="A38" i="84"/>
  <c r="D37" i="84"/>
  <c r="C37" i="84"/>
  <c r="B37" i="84"/>
  <c r="A37" i="84"/>
  <c r="D36" i="84"/>
  <c r="C36" i="84"/>
  <c r="B36" i="84"/>
  <c r="A36" i="84"/>
  <c r="D35" i="84"/>
  <c r="C35" i="84"/>
  <c r="B35" i="84"/>
  <c r="A35" i="84"/>
  <c r="D34" i="84"/>
  <c r="C34" i="84"/>
  <c r="B34" i="84"/>
  <c r="A34" i="84"/>
  <c r="D33" i="84"/>
  <c r="C33" i="84"/>
  <c r="B33" i="84"/>
  <c r="A33" i="84"/>
  <c r="D32" i="84"/>
  <c r="C32" i="84"/>
  <c r="B32" i="84"/>
  <c r="A32" i="84"/>
  <c r="D31" i="84"/>
  <c r="C31" i="84"/>
  <c r="B31" i="84"/>
  <c r="A31" i="84"/>
  <c r="D30" i="84"/>
  <c r="C30" i="84"/>
  <c r="B30" i="84"/>
  <c r="A30" i="84"/>
  <c r="D29" i="84"/>
  <c r="C29" i="84"/>
  <c r="B29" i="84"/>
  <c r="A29" i="84"/>
  <c r="D28" i="84"/>
  <c r="C28" i="84"/>
  <c r="B28" i="84"/>
  <c r="A28" i="84"/>
  <c r="D27" i="84"/>
  <c r="C27" i="84"/>
  <c r="B27" i="84"/>
  <c r="A27" i="84"/>
  <c r="D26" i="84"/>
  <c r="C26" i="84"/>
  <c r="B26" i="84"/>
  <c r="A26" i="84"/>
  <c r="D25" i="84"/>
  <c r="C25" i="84"/>
  <c r="B25" i="84"/>
  <c r="A25" i="84"/>
  <c r="D24" i="84"/>
  <c r="C24" i="84"/>
  <c r="B24" i="84"/>
  <c r="A24" i="84"/>
  <c r="D23" i="84"/>
  <c r="C23" i="84"/>
  <c r="B23" i="84"/>
  <c r="A23" i="84"/>
  <c r="D22" i="84"/>
  <c r="C22" i="84"/>
  <c r="B22" i="84"/>
  <c r="A22" i="84"/>
  <c r="D21" i="84"/>
  <c r="C21" i="84"/>
  <c r="B21" i="84"/>
  <c r="A21" i="84"/>
  <c r="D20" i="84"/>
  <c r="C20" i="84"/>
  <c r="B20" i="84"/>
  <c r="A20" i="84"/>
  <c r="D19" i="84"/>
  <c r="C19" i="84"/>
  <c r="B19" i="84"/>
  <c r="A19" i="84"/>
  <c r="D18" i="84"/>
  <c r="C18" i="84"/>
  <c r="B18" i="84"/>
  <c r="A18" i="84"/>
  <c r="D17" i="84"/>
  <c r="C17" i="84"/>
  <c r="B17" i="84"/>
  <c r="D16" i="84"/>
  <c r="C16" i="84"/>
  <c r="B16" i="84"/>
  <c r="A16" i="84"/>
  <c r="D15" i="84"/>
  <c r="C15" i="84"/>
  <c r="B15" i="84"/>
  <c r="D14" i="84"/>
  <c r="C14" i="84"/>
  <c r="B14" i="84"/>
  <c r="A14" i="84"/>
  <c r="D13" i="84"/>
  <c r="C13" i="84"/>
  <c r="B13" i="84"/>
  <c r="A13" i="84"/>
  <c r="D12" i="84"/>
  <c r="C12" i="84"/>
  <c r="B12" i="84"/>
  <c r="A12" i="84"/>
  <c r="D11" i="84"/>
  <c r="C11" i="84"/>
  <c r="B11" i="84"/>
  <c r="A11" i="84"/>
  <c r="D10" i="84"/>
  <c r="C10" i="84"/>
  <c r="B10" i="84"/>
  <c r="A10" i="84"/>
  <c r="D9" i="84"/>
  <c r="C9" i="84"/>
  <c r="B9" i="84"/>
  <c r="A9" i="84"/>
  <c r="D8" i="84"/>
  <c r="C8" i="84"/>
  <c r="B8" i="84"/>
  <c r="A8" i="84"/>
  <c r="D7" i="84"/>
  <c r="C7" i="84"/>
  <c r="B7" i="84"/>
  <c r="A7" i="84"/>
  <c r="D6" i="84"/>
  <c r="C6" i="84"/>
  <c r="B6" i="84"/>
  <c r="A6" i="84"/>
  <c r="D48" i="83"/>
  <c r="C48" i="83"/>
  <c r="B48" i="83"/>
  <c r="A48" i="83"/>
  <c r="D47" i="83"/>
  <c r="C47" i="83"/>
  <c r="B47" i="83"/>
  <c r="A47" i="83"/>
  <c r="D46" i="83"/>
  <c r="C46" i="83"/>
  <c r="B46" i="83"/>
  <c r="A46" i="83"/>
  <c r="D45" i="83"/>
  <c r="C45" i="83"/>
  <c r="B45" i="83"/>
  <c r="D42" i="83"/>
  <c r="C42" i="83"/>
  <c r="B42" i="83"/>
  <c r="A42" i="83"/>
  <c r="D41" i="83"/>
  <c r="C41" i="83"/>
  <c r="B41" i="83"/>
  <c r="A41" i="83"/>
  <c r="D40" i="83"/>
  <c r="C40" i="83"/>
  <c r="B40" i="83"/>
  <c r="A40" i="83"/>
  <c r="D39" i="83"/>
  <c r="C39" i="83"/>
  <c r="B39" i="83"/>
  <c r="A39" i="83"/>
  <c r="D38" i="83"/>
  <c r="C38" i="83"/>
  <c r="B38" i="83"/>
  <c r="A38" i="83"/>
  <c r="D37" i="83"/>
  <c r="C37" i="83"/>
  <c r="B37" i="83"/>
  <c r="A37" i="83"/>
  <c r="D36" i="83"/>
  <c r="C36" i="83"/>
  <c r="B36" i="83"/>
  <c r="A36" i="83"/>
  <c r="D35" i="83"/>
  <c r="C35" i="83"/>
  <c r="B35" i="83"/>
  <c r="A35" i="83"/>
  <c r="D34" i="83"/>
  <c r="C34" i="83"/>
  <c r="B34" i="83"/>
  <c r="A34" i="83"/>
  <c r="D33" i="83"/>
  <c r="C33" i="83"/>
  <c r="B33" i="83"/>
  <c r="A33" i="83"/>
  <c r="D32" i="83"/>
  <c r="C32" i="83"/>
  <c r="B32" i="83"/>
  <c r="A32" i="83"/>
  <c r="D31" i="83"/>
  <c r="C31" i="83"/>
  <c r="B31" i="83"/>
  <c r="A31" i="83"/>
  <c r="D30" i="83"/>
  <c r="C30" i="83"/>
  <c r="B30" i="83"/>
  <c r="A30" i="83"/>
  <c r="D29" i="83"/>
  <c r="C29" i="83"/>
  <c r="B29" i="83"/>
  <c r="A29" i="83"/>
  <c r="D28" i="83"/>
  <c r="C28" i="83"/>
  <c r="B28" i="83"/>
  <c r="A28" i="83"/>
  <c r="D27" i="83"/>
  <c r="C27" i="83"/>
  <c r="B27" i="83"/>
  <c r="A27" i="83"/>
  <c r="D26" i="83"/>
  <c r="C26" i="83"/>
  <c r="B26" i="83"/>
  <c r="A26" i="83"/>
  <c r="D25" i="83"/>
  <c r="C25" i="83"/>
  <c r="B25" i="83"/>
  <c r="A25" i="83"/>
  <c r="D24" i="83"/>
  <c r="C24" i="83"/>
  <c r="B24" i="83"/>
  <c r="A24" i="83"/>
  <c r="D23" i="83"/>
  <c r="C23" i="83"/>
  <c r="B23" i="83"/>
  <c r="A23" i="83"/>
  <c r="D22" i="83"/>
  <c r="C22" i="83"/>
  <c r="B22" i="83"/>
  <c r="A22" i="83"/>
  <c r="D21" i="83"/>
  <c r="C21" i="83"/>
  <c r="B21" i="83"/>
  <c r="A21" i="83"/>
  <c r="D20" i="83"/>
  <c r="C20" i="83"/>
  <c r="B20" i="83"/>
  <c r="A20" i="83"/>
  <c r="D19" i="83"/>
  <c r="C19" i="83"/>
  <c r="B19" i="83"/>
  <c r="A19" i="83"/>
  <c r="D18" i="83"/>
  <c r="C18" i="83"/>
  <c r="B18" i="83"/>
  <c r="A18" i="83"/>
  <c r="D17" i="83"/>
  <c r="C17" i="83"/>
  <c r="B17" i="83"/>
  <c r="D16" i="83"/>
  <c r="C16" i="83"/>
  <c r="B16" i="83"/>
  <c r="A16" i="83"/>
  <c r="D15" i="83"/>
  <c r="C15" i="83"/>
  <c r="B15" i="83"/>
  <c r="D14" i="83"/>
  <c r="C14" i="83"/>
  <c r="B14" i="83"/>
  <c r="A14" i="83"/>
  <c r="D13" i="83"/>
  <c r="C13" i="83"/>
  <c r="B13" i="83"/>
  <c r="A13" i="83"/>
  <c r="D12" i="83"/>
  <c r="C12" i="83"/>
  <c r="B12" i="83"/>
  <c r="A12" i="83"/>
  <c r="D11" i="83"/>
  <c r="C11" i="83"/>
  <c r="B11" i="83"/>
  <c r="A11" i="83"/>
  <c r="D10" i="83"/>
  <c r="C10" i="83"/>
  <c r="B10" i="83"/>
  <c r="A10" i="83"/>
  <c r="D9" i="83"/>
  <c r="C9" i="83"/>
  <c r="B9" i="83"/>
  <c r="A9" i="83"/>
  <c r="D8" i="83"/>
  <c r="C8" i="83"/>
  <c r="B8" i="83"/>
  <c r="A8" i="83"/>
  <c r="D7" i="83"/>
  <c r="C7" i="83"/>
  <c r="B7" i="83"/>
  <c r="A7" i="83"/>
  <c r="D6" i="83"/>
  <c r="C6" i="83"/>
  <c r="B6" i="83"/>
  <c r="A6" i="83"/>
  <c r="D48" i="82"/>
  <c r="C48" i="82"/>
  <c r="B48" i="82"/>
  <c r="A48" i="82"/>
  <c r="D47" i="82"/>
  <c r="C47" i="82"/>
  <c r="B47" i="82"/>
  <c r="A47" i="82"/>
  <c r="D46" i="82"/>
  <c r="C46" i="82"/>
  <c r="B46" i="82"/>
  <c r="A46" i="82"/>
  <c r="D45" i="82"/>
  <c r="C45" i="82"/>
  <c r="B45" i="82"/>
  <c r="D42" i="82"/>
  <c r="C42" i="82"/>
  <c r="B42" i="82"/>
  <c r="A42" i="82"/>
  <c r="D41" i="82"/>
  <c r="C41" i="82"/>
  <c r="B41" i="82"/>
  <c r="A41" i="82"/>
  <c r="D40" i="82"/>
  <c r="C40" i="82"/>
  <c r="B40" i="82"/>
  <c r="A40" i="82"/>
  <c r="D39" i="82"/>
  <c r="C39" i="82"/>
  <c r="B39" i="82"/>
  <c r="A39" i="82"/>
  <c r="D38" i="82"/>
  <c r="C38" i="82"/>
  <c r="B38" i="82"/>
  <c r="A38" i="82"/>
  <c r="D37" i="82"/>
  <c r="C37" i="82"/>
  <c r="B37" i="82"/>
  <c r="A37" i="82"/>
  <c r="D36" i="82"/>
  <c r="C36" i="82"/>
  <c r="B36" i="82"/>
  <c r="A36" i="82"/>
  <c r="D35" i="82"/>
  <c r="C35" i="82"/>
  <c r="B35" i="82"/>
  <c r="A35" i="82"/>
  <c r="D34" i="82"/>
  <c r="C34" i="82"/>
  <c r="B34" i="82"/>
  <c r="A34" i="82"/>
  <c r="D33" i="82"/>
  <c r="C33" i="82"/>
  <c r="B33" i="82"/>
  <c r="A33" i="82"/>
  <c r="D32" i="82"/>
  <c r="C32" i="82"/>
  <c r="B32" i="82"/>
  <c r="A32" i="82"/>
  <c r="D31" i="82"/>
  <c r="C31" i="82"/>
  <c r="B31" i="82"/>
  <c r="A31" i="82"/>
  <c r="D30" i="82"/>
  <c r="C30" i="82"/>
  <c r="B30" i="82"/>
  <c r="A30" i="82"/>
  <c r="D29" i="82"/>
  <c r="C29" i="82"/>
  <c r="B29" i="82"/>
  <c r="A29" i="82"/>
  <c r="D28" i="82"/>
  <c r="C28" i="82"/>
  <c r="B28" i="82"/>
  <c r="A28" i="82"/>
  <c r="D27" i="82"/>
  <c r="C27" i="82"/>
  <c r="B27" i="82"/>
  <c r="A27" i="82"/>
  <c r="D26" i="82"/>
  <c r="C26" i="82"/>
  <c r="B26" i="82"/>
  <c r="A26" i="82"/>
  <c r="D25" i="82"/>
  <c r="C25" i="82"/>
  <c r="B25" i="82"/>
  <c r="A25" i="82"/>
  <c r="D24" i="82"/>
  <c r="C24" i="82"/>
  <c r="B24" i="82"/>
  <c r="A24" i="82"/>
  <c r="D23" i="82"/>
  <c r="C23" i="82"/>
  <c r="B23" i="82"/>
  <c r="A23" i="82"/>
  <c r="D22" i="82"/>
  <c r="C22" i="82"/>
  <c r="B22" i="82"/>
  <c r="A22" i="82"/>
  <c r="D21" i="82"/>
  <c r="C21" i="82"/>
  <c r="B21" i="82"/>
  <c r="A21" i="82"/>
  <c r="D20" i="82"/>
  <c r="C20" i="82"/>
  <c r="B20" i="82"/>
  <c r="A20" i="82"/>
  <c r="D19" i="82"/>
  <c r="C19" i="82"/>
  <c r="B19" i="82"/>
  <c r="A19" i="82"/>
  <c r="D18" i="82"/>
  <c r="C18" i="82"/>
  <c r="B18" i="82"/>
  <c r="A18" i="82"/>
  <c r="D17" i="82"/>
  <c r="C17" i="82"/>
  <c r="B17" i="82"/>
  <c r="D16" i="82"/>
  <c r="C16" i="82"/>
  <c r="B16" i="82"/>
  <c r="A16" i="82"/>
  <c r="D15" i="82"/>
  <c r="C15" i="82"/>
  <c r="B15" i="82"/>
  <c r="D14" i="82"/>
  <c r="C14" i="82"/>
  <c r="B14" i="82"/>
  <c r="A14" i="82"/>
  <c r="D13" i="82"/>
  <c r="C13" i="82"/>
  <c r="B13" i="82"/>
  <c r="A13" i="82"/>
  <c r="D12" i="82"/>
  <c r="C12" i="82"/>
  <c r="B12" i="82"/>
  <c r="A12" i="82"/>
  <c r="D11" i="82"/>
  <c r="C11" i="82"/>
  <c r="B11" i="82"/>
  <c r="A11" i="82"/>
  <c r="D10" i="82"/>
  <c r="C10" i="82"/>
  <c r="B10" i="82"/>
  <c r="A10" i="82"/>
  <c r="D9" i="82"/>
  <c r="C9" i="82"/>
  <c r="B9" i="82"/>
  <c r="A9" i="82"/>
  <c r="D8" i="82"/>
  <c r="C8" i="82"/>
  <c r="B8" i="82"/>
  <c r="A8" i="82"/>
  <c r="D7" i="82"/>
  <c r="C7" i="82"/>
  <c r="B7" i="82"/>
  <c r="A7" i="82"/>
  <c r="D6" i="82"/>
  <c r="C6" i="82"/>
  <c r="B6" i="82"/>
  <c r="A6" i="82"/>
  <c r="D48" i="81"/>
  <c r="C48" i="81"/>
  <c r="B48" i="81"/>
  <c r="A48" i="81"/>
  <c r="D47" i="81"/>
  <c r="C47" i="81"/>
  <c r="B47" i="81"/>
  <c r="A47" i="81"/>
  <c r="D46" i="81"/>
  <c r="C46" i="81"/>
  <c r="B46" i="81"/>
  <c r="A46" i="81"/>
  <c r="D45" i="81"/>
  <c r="C45" i="81"/>
  <c r="B45" i="81"/>
  <c r="D42" i="81"/>
  <c r="C42" i="81"/>
  <c r="B42" i="81"/>
  <c r="A42" i="81"/>
  <c r="D41" i="81"/>
  <c r="C41" i="81"/>
  <c r="B41" i="81"/>
  <c r="A41" i="81"/>
  <c r="D40" i="81"/>
  <c r="C40" i="81"/>
  <c r="B40" i="81"/>
  <c r="A40" i="81"/>
  <c r="D39" i="81"/>
  <c r="C39" i="81"/>
  <c r="B39" i="81"/>
  <c r="A39" i="81"/>
  <c r="D38" i="81"/>
  <c r="C38" i="81"/>
  <c r="B38" i="81"/>
  <c r="A38" i="81"/>
  <c r="D37" i="81"/>
  <c r="C37" i="81"/>
  <c r="B37" i="81"/>
  <c r="A37" i="81"/>
  <c r="D36" i="81"/>
  <c r="C36" i="81"/>
  <c r="B36" i="81"/>
  <c r="A36" i="81"/>
  <c r="D35" i="81"/>
  <c r="C35" i="81"/>
  <c r="B35" i="81"/>
  <c r="A35" i="81"/>
  <c r="D34" i="81"/>
  <c r="C34" i="81"/>
  <c r="B34" i="81"/>
  <c r="A34" i="81"/>
  <c r="D33" i="81"/>
  <c r="C33" i="81"/>
  <c r="B33" i="81"/>
  <c r="A33" i="81"/>
  <c r="D32" i="81"/>
  <c r="C32" i="81"/>
  <c r="B32" i="81"/>
  <c r="A32" i="81"/>
  <c r="D31" i="81"/>
  <c r="C31" i="81"/>
  <c r="B31" i="81"/>
  <c r="A31" i="81"/>
  <c r="D30" i="81"/>
  <c r="C30" i="81"/>
  <c r="B30" i="81"/>
  <c r="A30" i="81"/>
  <c r="D29" i="81"/>
  <c r="C29" i="81"/>
  <c r="B29" i="81"/>
  <c r="A29" i="81"/>
  <c r="D28" i="81"/>
  <c r="C28" i="81"/>
  <c r="B28" i="81"/>
  <c r="A28" i="81"/>
  <c r="D27" i="81"/>
  <c r="C27" i="81"/>
  <c r="B27" i="81"/>
  <c r="A27" i="81"/>
  <c r="D26" i="81"/>
  <c r="C26" i="81"/>
  <c r="B26" i="81"/>
  <c r="A26" i="81"/>
  <c r="D25" i="81"/>
  <c r="C25" i="81"/>
  <c r="B25" i="81"/>
  <c r="A25" i="81"/>
  <c r="D24" i="81"/>
  <c r="C24" i="81"/>
  <c r="B24" i="81"/>
  <c r="A24" i="81"/>
  <c r="D23" i="81"/>
  <c r="C23" i="81"/>
  <c r="B23" i="81"/>
  <c r="A23" i="81"/>
  <c r="D22" i="81"/>
  <c r="C22" i="81"/>
  <c r="B22" i="81"/>
  <c r="A22" i="81"/>
  <c r="D21" i="81"/>
  <c r="C21" i="81"/>
  <c r="B21" i="81"/>
  <c r="A21" i="81"/>
  <c r="D20" i="81"/>
  <c r="C20" i="81"/>
  <c r="B20" i="81"/>
  <c r="A20" i="81"/>
  <c r="D19" i="81"/>
  <c r="C19" i="81"/>
  <c r="B19" i="81"/>
  <c r="A19" i="81"/>
  <c r="D18" i="81"/>
  <c r="C18" i="81"/>
  <c r="B18" i="81"/>
  <c r="A18" i="81"/>
  <c r="D17" i="81"/>
  <c r="C17" i="81"/>
  <c r="B17" i="81"/>
  <c r="D16" i="81"/>
  <c r="C16" i="81"/>
  <c r="B16" i="81"/>
  <c r="A16" i="81"/>
  <c r="D15" i="81"/>
  <c r="C15" i="81"/>
  <c r="B15" i="81"/>
  <c r="D14" i="81"/>
  <c r="C14" i="81"/>
  <c r="B14" i="81"/>
  <c r="A14" i="81"/>
  <c r="D13" i="81"/>
  <c r="C13" i="81"/>
  <c r="B13" i="81"/>
  <c r="A13" i="81"/>
  <c r="D12" i="81"/>
  <c r="C12" i="81"/>
  <c r="B12" i="81"/>
  <c r="A12" i="81"/>
  <c r="D11" i="81"/>
  <c r="C11" i="81"/>
  <c r="B11" i="81"/>
  <c r="A11" i="81"/>
  <c r="D10" i="81"/>
  <c r="C10" i="81"/>
  <c r="B10" i="81"/>
  <c r="A10" i="81"/>
  <c r="D9" i="81"/>
  <c r="C9" i="81"/>
  <c r="B9" i="81"/>
  <c r="A9" i="81"/>
  <c r="D8" i="81"/>
  <c r="C8" i="81"/>
  <c r="B8" i="81"/>
  <c r="A8" i="81"/>
  <c r="D7" i="81"/>
  <c r="C7" i="81"/>
  <c r="B7" i="81"/>
  <c r="A7" i="81"/>
  <c r="D6" i="81"/>
  <c r="C6" i="81"/>
  <c r="B6" i="81"/>
  <c r="A6" i="81"/>
  <c r="D48" i="80"/>
  <c r="C48" i="80"/>
  <c r="B48" i="80"/>
  <c r="A48" i="80"/>
  <c r="D47" i="80"/>
  <c r="C47" i="80"/>
  <c r="B47" i="80"/>
  <c r="A47" i="80"/>
  <c r="D46" i="80"/>
  <c r="C46" i="80"/>
  <c r="B46" i="80"/>
  <c r="A46" i="80"/>
  <c r="D45" i="80"/>
  <c r="C45" i="80"/>
  <c r="B45" i="80"/>
  <c r="D42" i="80"/>
  <c r="C42" i="80"/>
  <c r="B42" i="80"/>
  <c r="A42" i="80"/>
  <c r="D41" i="80"/>
  <c r="C41" i="80"/>
  <c r="B41" i="80"/>
  <c r="A41" i="80"/>
  <c r="D40" i="80"/>
  <c r="C40" i="80"/>
  <c r="B40" i="80"/>
  <c r="A40" i="80"/>
  <c r="D39" i="80"/>
  <c r="C39" i="80"/>
  <c r="B39" i="80"/>
  <c r="A39" i="80"/>
  <c r="D38" i="80"/>
  <c r="C38" i="80"/>
  <c r="B38" i="80"/>
  <c r="A38" i="80"/>
  <c r="D37" i="80"/>
  <c r="C37" i="80"/>
  <c r="B37" i="80"/>
  <c r="A37" i="80"/>
  <c r="D36" i="80"/>
  <c r="C36" i="80"/>
  <c r="B36" i="80"/>
  <c r="A36" i="80"/>
  <c r="D35" i="80"/>
  <c r="C35" i="80"/>
  <c r="B35" i="80"/>
  <c r="A35" i="80"/>
  <c r="D34" i="80"/>
  <c r="C34" i="80"/>
  <c r="B34" i="80"/>
  <c r="A34" i="80"/>
  <c r="D33" i="80"/>
  <c r="C33" i="80"/>
  <c r="B33" i="80"/>
  <c r="A33" i="80"/>
  <c r="D32" i="80"/>
  <c r="C32" i="80"/>
  <c r="B32" i="80"/>
  <c r="A32" i="80"/>
  <c r="D31" i="80"/>
  <c r="C31" i="80"/>
  <c r="B31" i="80"/>
  <c r="A31" i="80"/>
  <c r="D30" i="80"/>
  <c r="C30" i="80"/>
  <c r="B30" i="80"/>
  <c r="A30" i="80"/>
  <c r="D29" i="80"/>
  <c r="C29" i="80"/>
  <c r="B29" i="80"/>
  <c r="A29" i="80"/>
  <c r="D28" i="80"/>
  <c r="C28" i="80"/>
  <c r="B28" i="80"/>
  <c r="A28" i="80"/>
  <c r="D27" i="80"/>
  <c r="C27" i="80"/>
  <c r="B27" i="80"/>
  <c r="A27" i="80"/>
  <c r="D26" i="80"/>
  <c r="C26" i="80"/>
  <c r="B26" i="80"/>
  <c r="A26" i="80"/>
  <c r="D25" i="80"/>
  <c r="C25" i="80"/>
  <c r="B25" i="80"/>
  <c r="A25" i="80"/>
  <c r="D24" i="80"/>
  <c r="C24" i="80"/>
  <c r="B24" i="80"/>
  <c r="A24" i="80"/>
  <c r="D23" i="80"/>
  <c r="C23" i="80"/>
  <c r="B23" i="80"/>
  <c r="A23" i="80"/>
  <c r="D22" i="80"/>
  <c r="C22" i="80"/>
  <c r="B22" i="80"/>
  <c r="A22" i="80"/>
  <c r="D21" i="80"/>
  <c r="C21" i="80"/>
  <c r="B21" i="80"/>
  <c r="A21" i="80"/>
  <c r="D20" i="80"/>
  <c r="C20" i="80"/>
  <c r="B20" i="80"/>
  <c r="A20" i="80"/>
  <c r="D19" i="80"/>
  <c r="C19" i="80"/>
  <c r="B19" i="80"/>
  <c r="A19" i="80"/>
  <c r="D18" i="80"/>
  <c r="C18" i="80"/>
  <c r="B18" i="80"/>
  <c r="A18" i="80"/>
  <c r="D17" i="80"/>
  <c r="C17" i="80"/>
  <c r="B17" i="80"/>
  <c r="D16" i="80"/>
  <c r="C16" i="80"/>
  <c r="B16" i="80"/>
  <c r="A16" i="80"/>
  <c r="D15" i="80"/>
  <c r="C15" i="80"/>
  <c r="B15" i="80"/>
  <c r="D14" i="80"/>
  <c r="C14" i="80"/>
  <c r="B14" i="80"/>
  <c r="A14" i="80"/>
  <c r="D13" i="80"/>
  <c r="C13" i="80"/>
  <c r="B13" i="80"/>
  <c r="A13" i="80"/>
  <c r="D12" i="80"/>
  <c r="C12" i="80"/>
  <c r="B12" i="80"/>
  <c r="A12" i="80"/>
  <c r="D11" i="80"/>
  <c r="C11" i="80"/>
  <c r="B11" i="80"/>
  <c r="A11" i="80"/>
  <c r="D10" i="80"/>
  <c r="C10" i="80"/>
  <c r="B10" i="80"/>
  <c r="A10" i="80"/>
  <c r="D9" i="80"/>
  <c r="C9" i="80"/>
  <c r="B9" i="80"/>
  <c r="A9" i="80"/>
  <c r="D8" i="80"/>
  <c r="C8" i="80"/>
  <c r="B8" i="80"/>
  <c r="A8" i="80"/>
  <c r="D7" i="80"/>
  <c r="C7" i="80"/>
  <c r="B7" i="80"/>
  <c r="A7" i="80"/>
  <c r="D6" i="80"/>
  <c r="C6" i="80"/>
  <c r="B6" i="80"/>
  <c r="A6" i="80"/>
  <c r="D48" i="79"/>
  <c r="C48" i="79"/>
  <c r="B48" i="79"/>
  <c r="A48" i="79"/>
  <c r="D47" i="79"/>
  <c r="C47" i="79"/>
  <c r="B47" i="79"/>
  <c r="A47" i="79"/>
  <c r="D46" i="79"/>
  <c r="C46" i="79"/>
  <c r="B46" i="79"/>
  <c r="A46" i="79"/>
  <c r="D45" i="79"/>
  <c r="C45" i="79"/>
  <c r="B45" i="79"/>
  <c r="D42" i="79"/>
  <c r="C42" i="79"/>
  <c r="B42" i="79"/>
  <c r="A42" i="79"/>
  <c r="D41" i="79"/>
  <c r="C41" i="79"/>
  <c r="B41" i="79"/>
  <c r="A41" i="79"/>
  <c r="D40" i="79"/>
  <c r="C40" i="79"/>
  <c r="B40" i="79"/>
  <c r="A40" i="79"/>
  <c r="D39" i="79"/>
  <c r="C39" i="79"/>
  <c r="B39" i="79"/>
  <c r="A39" i="79"/>
  <c r="D38" i="79"/>
  <c r="C38" i="79"/>
  <c r="B38" i="79"/>
  <c r="A38" i="79"/>
  <c r="D37" i="79"/>
  <c r="C37" i="79"/>
  <c r="B37" i="79"/>
  <c r="A37" i="79"/>
  <c r="D36" i="79"/>
  <c r="C36" i="79"/>
  <c r="B36" i="79"/>
  <c r="A36" i="79"/>
  <c r="D35" i="79"/>
  <c r="C35" i="79"/>
  <c r="B35" i="79"/>
  <c r="A35" i="79"/>
  <c r="D34" i="79"/>
  <c r="C34" i="79"/>
  <c r="B34" i="79"/>
  <c r="A34" i="79"/>
  <c r="D33" i="79"/>
  <c r="C33" i="79"/>
  <c r="B33" i="79"/>
  <c r="A33" i="79"/>
  <c r="D32" i="79"/>
  <c r="C32" i="79"/>
  <c r="B32" i="79"/>
  <c r="A32" i="79"/>
  <c r="D31" i="79"/>
  <c r="C31" i="79"/>
  <c r="B31" i="79"/>
  <c r="A31" i="79"/>
  <c r="D30" i="79"/>
  <c r="C30" i="79"/>
  <c r="B30" i="79"/>
  <c r="A30" i="79"/>
  <c r="D29" i="79"/>
  <c r="C29" i="79"/>
  <c r="B29" i="79"/>
  <c r="A29" i="79"/>
  <c r="D28" i="79"/>
  <c r="C28" i="79"/>
  <c r="B28" i="79"/>
  <c r="A28" i="79"/>
  <c r="D27" i="79"/>
  <c r="C27" i="79"/>
  <c r="B27" i="79"/>
  <c r="A27" i="79"/>
  <c r="D26" i="79"/>
  <c r="C26" i="79"/>
  <c r="B26" i="79"/>
  <c r="A26" i="79"/>
  <c r="D25" i="79"/>
  <c r="C25" i="79"/>
  <c r="B25" i="79"/>
  <c r="A25" i="79"/>
  <c r="D24" i="79"/>
  <c r="C24" i="79"/>
  <c r="B24" i="79"/>
  <c r="A24" i="79"/>
  <c r="D23" i="79"/>
  <c r="C23" i="79"/>
  <c r="B23" i="79"/>
  <c r="A23" i="79"/>
  <c r="D22" i="79"/>
  <c r="C22" i="79"/>
  <c r="B22" i="79"/>
  <c r="A22" i="79"/>
  <c r="D21" i="79"/>
  <c r="C21" i="79"/>
  <c r="B21" i="79"/>
  <c r="A21" i="79"/>
  <c r="D20" i="79"/>
  <c r="C20" i="79"/>
  <c r="B20" i="79"/>
  <c r="A20" i="79"/>
  <c r="D19" i="79"/>
  <c r="C19" i="79"/>
  <c r="B19" i="79"/>
  <c r="A19" i="79"/>
  <c r="D18" i="79"/>
  <c r="C18" i="79"/>
  <c r="B18" i="79"/>
  <c r="A18" i="79"/>
  <c r="D17" i="79"/>
  <c r="C17" i="79"/>
  <c r="B17" i="79"/>
  <c r="D16" i="79"/>
  <c r="C16" i="79"/>
  <c r="B16" i="79"/>
  <c r="A16" i="79"/>
  <c r="D15" i="79"/>
  <c r="C15" i="79"/>
  <c r="B15" i="79"/>
  <c r="D14" i="79"/>
  <c r="C14" i="79"/>
  <c r="B14" i="79"/>
  <c r="A14" i="79"/>
  <c r="D13" i="79"/>
  <c r="C13" i="79"/>
  <c r="B13" i="79"/>
  <c r="A13" i="79"/>
  <c r="D12" i="79"/>
  <c r="C12" i="79"/>
  <c r="B12" i="79"/>
  <c r="A12" i="79"/>
  <c r="D11" i="79"/>
  <c r="C11" i="79"/>
  <c r="B11" i="79"/>
  <c r="A11" i="79"/>
  <c r="D10" i="79"/>
  <c r="C10" i="79"/>
  <c r="B10" i="79"/>
  <c r="A10" i="79"/>
  <c r="D9" i="79"/>
  <c r="C9" i="79"/>
  <c r="B9" i="79"/>
  <c r="A9" i="79"/>
  <c r="D8" i="79"/>
  <c r="C8" i="79"/>
  <c r="B8" i="79"/>
  <c r="A8" i="79"/>
  <c r="D7" i="79"/>
  <c r="C7" i="79"/>
  <c r="B7" i="79"/>
  <c r="A7" i="79"/>
  <c r="D6" i="79"/>
  <c r="C6" i="79"/>
  <c r="B6" i="79"/>
  <c r="A6" i="79"/>
  <c r="D48" i="78"/>
  <c r="C48" i="78"/>
  <c r="B48" i="78"/>
  <c r="A48" i="78"/>
  <c r="D47" i="78"/>
  <c r="C47" i="78"/>
  <c r="B47" i="78"/>
  <c r="A47" i="78"/>
  <c r="D46" i="78"/>
  <c r="C46" i="78"/>
  <c r="B46" i="78"/>
  <c r="A46" i="78"/>
  <c r="D45" i="78"/>
  <c r="C45" i="78"/>
  <c r="B45" i="78"/>
  <c r="D42" i="78"/>
  <c r="C42" i="78"/>
  <c r="B42" i="78"/>
  <c r="A42" i="78"/>
  <c r="D41" i="78"/>
  <c r="C41" i="78"/>
  <c r="B41" i="78"/>
  <c r="A41" i="78"/>
  <c r="D40" i="78"/>
  <c r="C40" i="78"/>
  <c r="B40" i="78"/>
  <c r="A40" i="78"/>
  <c r="D39" i="78"/>
  <c r="C39" i="78"/>
  <c r="B39" i="78"/>
  <c r="A39" i="78"/>
  <c r="D38" i="78"/>
  <c r="C38" i="78"/>
  <c r="B38" i="78"/>
  <c r="A38" i="78"/>
  <c r="D37" i="78"/>
  <c r="C37" i="78"/>
  <c r="B37" i="78"/>
  <c r="A37" i="78"/>
  <c r="D36" i="78"/>
  <c r="C36" i="78"/>
  <c r="B36" i="78"/>
  <c r="A36" i="78"/>
  <c r="D35" i="78"/>
  <c r="C35" i="78"/>
  <c r="B35" i="78"/>
  <c r="A35" i="78"/>
  <c r="D34" i="78"/>
  <c r="C34" i="78"/>
  <c r="B34" i="78"/>
  <c r="A34" i="78"/>
  <c r="D33" i="78"/>
  <c r="C33" i="78"/>
  <c r="B33" i="78"/>
  <c r="A33" i="78"/>
  <c r="D32" i="78"/>
  <c r="C32" i="78"/>
  <c r="B32" i="78"/>
  <c r="A32" i="78"/>
  <c r="D31" i="78"/>
  <c r="C31" i="78"/>
  <c r="B31" i="78"/>
  <c r="A31" i="78"/>
  <c r="D30" i="78"/>
  <c r="C30" i="78"/>
  <c r="B30" i="78"/>
  <c r="A30" i="78"/>
  <c r="D29" i="78"/>
  <c r="C29" i="78"/>
  <c r="B29" i="78"/>
  <c r="A29" i="78"/>
  <c r="D28" i="78"/>
  <c r="C28" i="78"/>
  <c r="B28" i="78"/>
  <c r="A28" i="78"/>
  <c r="D27" i="78"/>
  <c r="C27" i="78"/>
  <c r="B27" i="78"/>
  <c r="A27" i="78"/>
  <c r="D26" i="78"/>
  <c r="C26" i="78"/>
  <c r="B26" i="78"/>
  <c r="A26" i="78"/>
  <c r="D25" i="78"/>
  <c r="C25" i="78"/>
  <c r="B25" i="78"/>
  <c r="A25" i="78"/>
  <c r="D24" i="78"/>
  <c r="C24" i="78"/>
  <c r="B24" i="78"/>
  <c r="A24" i="78"/>
  <c r="D23" i="78"/>
  <c r="C23" i="78"/>
  <c r="B23" i="78"/>
  <c r="A23" i="78"/>
  <c r="D22" i="78"/>
  <c r="C22" i="78"/>
  <c r="B22" i="78"/>
  <c r="A22" i="78"/>
  <c r="D21" i="78"/>
  <c r="C21" i="78"/>
  <c r="B21" i="78"/>
  <c r="A21" i="78"/>
  <c r="D20" i="78"/>
  <c r="C20" i="78"/>
  <c r="B20" i="78"/>
  <c r="A20" i="78"/>
  <c r="D19" i="78"/>
  <c r="C19" i="78"/>
  <c r="B19" i="78"/>
  <c r="A19" i="78"/>
  <c r="D18" i="78"/>
  <c r="C18" i="78"/>
  <c r="B18" i="78"/>
  <c r="A18" i="78"/>
  <c r="D17" i="78"/>
  <c r="C17" i="78"/>
  <c r="B17" i="78"/>
  <c r="D16" i="78"/>
  <c r="C16" i="78"/>
  <c r="B16" i="78"/>
  <c r="A16" i="78"/>
  <c r="D15" i="78"/>
  <c r="C15" i="78"/>
  <c r="B15" i="78"/>
  <c r="D14" i="78"/>
  <c r="C14" i="78"/>
  <c r="B14" i="78"/>
  <c r="A14" i="78"/>
  <c r="D13" i="78"/>
  <c r="C13" i="78"/>
  <c r="B13" i="78"/>
  <c r="A13" i="78"/>
  <c r="D12" i="78"/>
  <c r="C12" i="78"/>
  <c r="B12" i="78"/>
  <c r="A12" i="78"/>
  <c r="D11" i="78"/>
  <c r="C11" i="78"/>
  <c r="B11" i="78"/>
  <c r="A11" i="78"/>
  <c r="D10" i="78"/>
  <c r="C10" i="78"/>
  <c r="B10" i="78"/>
  <c r="A10" i="78"/>
  <c r="D9" i="78"/>
  <c r="C9" i="78"/>
  <c r="B9" i="78"/>
  <c r="A9" i="78"/>
  <c r="D8" i="78"/>
  <c r="C8" i="78"/>
  <c r="B8" i="78"/>
  <c r="A8" i="78"/>
  <c r="D7" i="78"/>
  <c r="C7" i="78"/>
  <c r="B7" i="78"/>
  <c r="A7" i="78"/>
  <c r="D6" i="78"/>
  <c r="C6" i="78"/>
  <c r="B6" i="78"/>
  <c r="A6" i="78"/>
  <c r="D48" i="77"/>
  <c r="C48" i="77"/>
  <c r="B48" i="77"/>
  <c r="A48" i="77"/>
  <c r="D47" i="77"/>
  <c r="C47" i="77"/>
  <c r="B47" i="77"/>
  <c r="A47" i="77"/>
  <c r="D46" i="77"/>
  <c r="C46" i="77"/>
  <c r="B46" i="77"/>
  <c r="A46" i="77"/>
  <c r="D45" i="77"/>
  <c r="C45" i="77"/>
  <c r="B45" i="77"/>
  <c r="D42" i="77"/>
  <c r="C42" i="77"/>
  <c r="B42" i="77"/>
  <c r="A42" i="77"/>
  <c r="D41" i="77"/>
  <c r="C41" i="77"/>
  <c r="B41" i="77"/>
  <c r="A41" i="77"/>
  <c r="D40" i="77"/>
  <c r="C40" i="77"/>
  <c r="B40" i="77"/>
  <c r="A40" i="77"/>
  <c r="D39" i="77"/>
  <c r="C39" i="77"/>
  <c r="B39" i="77"/>
  <c r="A39" i="77"/>
  <c r="D38" i="77"/>
  <c r="C38" i="77"/>
  <c r="B38" i="77"/>
  <c r="A38" i="77"/>
  <c r="D37" i="77"/>
  <c r="C37" i="77"/>
  <c r="B37" i="77"/>
  <c r="A37" i="77"/>
  <c r="D36" i="77"/>
  <c r="C36" i="77"/>
  <c r="B36" i="77"/>
  <c r="A36" i="77"/>
  <c r="D35" i="77"/>
  <c r="C35" i="77"/>
  <c r="B35" i="77"/>
  <c r="A35" i="77"/>
  <c r="D34" i="77"/>
  <c r="C34" i="77"/>
  <c r="B34" i="77"/>
  <c r="A34" i="77"/>
  <c r="D33" i="77"/>
  <c r="C33" i="77"/>
  <c r="B33" i="77"/>
  <c r="A33" i="77"/>
  <c r="D32" i="77"/>
  <c r="C32" i="77"/>
  <c r="B32" i="77"/>
  <c r="A32" i="77"/>
  <c r="D31" i="77"/>
  <c r="C31" i="77"/>
  <c r="B31" i="77"/>
  <c r="A31" i="77"/>
  <c r="D30" i="77"/>
  <c r="C30" i="77"/>
  <c r="B30" i="77"/>
  <c r="A30" i="77"/>
  <c r="D29" i="77"/>
  <c r="C29" i="77"/>
  <c r="B29" i="77"/>
  <c r="A29" i="77"/>
  <c r="D28" i="77"/>
  <c r="C28" i="77"/>
  <c r="B28" i="77"/>
  <c r="A28" i="77"/>
  <c r="D27" i="77"/>
  <c r="C27" i="77"/>
  <c r="B27" i="77"/>
  <c r="A27" i="77"/>
  <c r="D26" i="77"/>
  <c r="C26" i="77"/>
  <c r="B26" i="77"/>
  <c r="A26" i="77"/>
  <c r="D25" i="77"/>
  <c r="C25" i="77"/>
  <c r="B25" i="77"/>
  <c r="A25" i="77"/>
  <c r="D24" i="77"/>
  <c r="C24" i="77"/>
  <c r="B24" i="77"/>
  <c r="A24" i="77"/>
  <c r="D23" i="77"/>
  <c r="C23" i="77"/>
  <c r="B23" i="77"/>
  <c r="A23" i="77"/>
  <c r="D22" i="77"/>
  <c r="C22" i="77"/>
  <c r="B22" i="77"/>
  <c r="A22" i="77"/>
  <c r="D21" i="77"/>
  <c r="C21" i="77"/>
  <c r="B21" i="77"/>
  <c r="A21" i="77"/>
  <c r="D20" i="77"/>
  <c r="C20" i="77"/>
  <c r="B20" i="77"/>
  <c r="A20" i="77"/>
  <c r="D19" i="77"/>
  <c r="C19" i="77"/>
  <c r="B19" i="77"/>
  <c r="A19" i="77"/>
  <c r="D18" i="77"/>
  <c r="C18" i="77"/>
  <c r="B18" i="77"/>
  <c r="A18" i="77"/>
  <c r="D17" i="77"/>
  <c r="C17" i="77"/>
  <c r="B17" i="77"/>
  <c r="D16" i="77"/>
  <c r="C16" i="77"/>
  <c r="B16" i="77"/>
  <c r="A16" i="77"/>
  <c r="D15" i="77"/>
  <c r="C15" i="77"/>
  <c r="B15" i="77"/>
  <c r="D14" i="77"/>
  <c r="C14" i="77"/>
  <c r="B14" i="77"/>
  <c r="A14" i="77"/>
  <c r="D13" i="77"/>
  <c r="C13" i="77"/>
  <c r="B13" i="77"/>
  <c r="A13" i="77"/>
  <c r="D12" i="77"/>
  <c r="C12" i="77"/>
  <c r="B12" i="77"/>
  <c r="A12" i="77"/>
  <c r="D11" i="77"/>
  <c r="C11" i="77"/>
  <c r="B11" i="77"/>
  <c r="A11" i="77"/>
  <c r="D10" i="77"/>
  <c r="C10" i="77"/>
  <c r="B10" i="77"/>
  <c r="A10" i="77"/>
  <c r="D9" i="77"/>
  <c r="C9" i="77"/>
  <c r="B9" i="77"/>
  <c r="A9" i="77"/>
  <c r="D8" i="77"/>
  <c r="C8" i="77"/>
  <c r="B8" i="77"/>
  <c r="A8" i="77"/>
  <c r="D7" i="77"/>
  <c r="C7" i="77"/>
  <c r="B7" i="77"/>
  <c r="A7" i="77"/>
  <c r="D6" i="77"/>
  <c r="C6" i="77"/>
  <c r="B6" i="77"/>
  <c r="A6" i="77"/>
  <c r="D48" i="76"/>
  <c r="C48" i="76"/>
  <c r="B48" i="76"/>
  <c r="A48" i="76"/>
  <c r="D47" i="76"/>
  <c r="C47" i="76"/>
  <c r="B47" i="76"/>
  <c r="A47" i="76"/>
  <c r="D46" i="76"/>
  <c r="C46" i="76"/>
  <c r="B46" i="76"/>
  <c r="A46" i="76"/>
  <c r="D45" i="76"/>
  <c r="C45" i="76"/>
  <c r="B45" i="76"/>
  <c r="D42" i="76"/>
  <c r="C42" i="76"/>
  <c r="B42" i="76"/>
  <c r="A42" i="76"/>
  <c r="D41" i="76"/>
  <c r="C41" i="76"/>
  <c r="B41" i="76"/>
  <c r="A41" i="76"/>
  <c r="D40" i="76"/>
  <c r="C40" i="76"/>
  <c r="B40" i="76"/>
  <c r="A40" i="76"/>
  <c r="D39" i="76"/>
  <c r="C39" i="76"/>
  <c r="B39" i="76"/>
  <c r="A39" i="76"/>
  <c r="D38" i="76"/>
  <c r="C38" i="76"/>
  <c r="B38" i="76"/>
  <c r="A38" i="76"/>
  <c r="D37" i="76"/>
  <c r="C37" i="76"/>
  <c r="B37" i="76"/>
  <c r="A37" i="76"/>
  <c r="D36" i="76"/>
  <c r="C36" i="76"/>
  <c r="B36" i="76"/>
  <c r="A36" i="76"/>
  <c r="D35" i="76"/>
  <c r="C35" i="76"/>
  <c r="B35" i="76"/>
  <c r="A35" i="76"/>
  <c r="D34" i="76"/>
  <c r="C34" i="76"/>
  <c r="B34" i="76"/>
  <c r="A34" i="76"/>
  <c r="D33" i="76"/>
  <c r="C33" i="76"/>
  <c r="B33" i="76"/>
  <c r="A33" i="76"/>
  <c r="D32" i="76"/>
  <c r="C32" i="76"/>
  <c r="B32" i="76"/>
  <c r="A32" i="76"/>
  <c r="D31" i="76"/>
  <c r="C31" i="76"/>
  <c r="B31" i="76"/>
  <c r="A31" i="76"/>
  <c r="D30" i="76"/>
  <c r="C30" i="76"/>
  <c r="B30" i="76"/>
  <c r="A30" i="76"/>
  <c r="D29" i="76"/>
  <c r="C29" i="76"/>
  <c r="B29" i="76"/>
  <c r="A29" i="76"/>
  <c r="D28" i="76"/>
  <c r="C28" i="76"/>
  <c r="B28" i="76"/>
  <c r="A28" i="76"/>
  <c r="D27" i="76"/>
  <c r="C27" i="76"/>
  <c r="B27" i="76"/>
  <c r="A27" i="76"/>
  <c r="D26" i="76"/>
  <c r="C26" i="76"/>
  <c r="B26" i="76"/>
  <c r="A26" i="76"/>
  <c r="D25" i="76"/>
  <c r="C25" i="76"/>
  <c r="B25" i="76"/>
  <c r="A25" i="76"/>
  <c r="D24" i="76"/>
  <c r="C24" i="76"/>
  <c r="B24" i="76"/>
  <c r="A24" i="76"/>
  <c r="D23" i="76"/>
  <c r="C23" i="76"/>
  <c r="B23" i="76"/>
  <c r="A23" i="76"/>
  <c r="D22" i="76"/>
  <c r="C22" i="76"/>
  <c r="B22" i="76"/>
  <c r="A22" i="76"/>
  <c r="D21" i="76"/>
  <c r="C21" i="76"/>
  <c r="B21" i="76"/>
  <c r="A21" i="76"/>
  <c r="D20" i="76"/>
  <c r="C20" i="76"/>
  <c r="B20" i="76"/>
  <c r="A20" i="76"/>
  <c r="D19" i="76"/>
  <c r="C19" i="76"/>
  <c r="B19" i="76"/>
  <c r="A19" i="76"/>
  <c r="D18" i="76"/>
  <c r="C18" i="76"/>
  <c r="B18" i="76"/>
  <c r="A18" i="76"/>
  <c r="D17" i="76"/>
  <c r="C17" i="76"/>
  <c r="B17" i="76"/>
  <c r="D16" i="76"/>
  <c r="C16" i="76"/>
  <c r="B16" i="76"/>
  <c r="A16" i="76"/>
  <c r="D15" i="76"/>
  <c r="C15" i="76"/>
  <c r="B15" i="76"/>
  <c r="D14" i="76"/>
  <c r="C14" i="76"/>
  <c r="B14" i="76"/>
  <c r="A14" i="76"/>
  <c r="D13" i="76"/>
  <c r="C13" i="76"/>
  <c r="B13" i="76"/>
  <c r="A13" i="76"/>
  <c r="D12" i="76"/>
  <c r="C12" i="76"/>
  <c r="B12" i="76"/>
  <c r="A12" i="76"/>
  <c r="D11" i="76"/>
  <c r="C11" i="76"/>
  <c r="B11" i="76"/>
  <c r="A11" i="76"/>
  <c r="D10" i="76"/>
  <c r="C10" i="76"/>
  <c r="B10" i="76"/>
  <c r="A10" i="76"/>
  <c r="D9" i="76"/>
  <c r="C9" i="76"/>
  <c r="B9" i="76"/>
  <c r="A9" i="76"/>
  <c r="D8" i="76"/>
  <c r="C8" i="76"/>
  <c r="B8" i="76"/>
  <c r="A8" i="76"/>
  <c r="D7" i="76"/>
  <c r="C7" i="76"/>
  <c r="B7" i="76"/>
  <c r="A7" i="76"/>
  <c r="D6" i="76"/>
  <c r="C6" i="76"/>
  <c r="B6" i="76"/>
  <c r="A6" i="76"/>
  <c r="D48" i="75"/>
  <c r="C48" i="75"/>
  <c r="B48" i="75"/>
  <c r="A48" i="75"/>
  <c r="D47" i="75"/>
  <c r="C47" i="75"/>
  <c r="B47" i="75"/>
  <c r="A47" i="75"/>
  <c r="D46" i="75"/>
  <c r="C46" i="75"/>
  <c r="B46" i="75"/>
  <c r="A46" i="75"/>
  <c r="D45" i="75"/>
  <c r="C45" i="75"/>
  <c r="B45" i="75"/>
  <c r="D42" i="75"/>
  <c r="C42" i="75"/>
  <c r="B42" i="75"/>
  <c r="A42" i="75"/>
  <c r="D41" i="75"/>
  <c r="C41" i="75"/>
  <c r="B41" i="75"/>
  <c r="A41" i="75"/>
  <c r="D40" i="75"/>
  <c r="C40" i="75"/>
  <c r="B40" i="75"/>
  <c r="A40" i="75"/>
  <c r="D39" i="75"/>
  <c r="C39" i="75"/>
  <c r="B39" i="75"/>
  <c r="A39" i="75"/>
  <c r="D38" i="75"/>
  <c r="C38" i="75"/>
  <c r="B38" i="75"/>
  <c r="A38" i="75"/>
  <c r="D37" i="75"/>
  <c r="C37" i="75"/>
  <c r="B37" i="75"/>
  <c r="A37" i="75"/>
  <c r="D36" i="75"/>
  <c r="C36" i="75"/>
  <c r="B36" i="75"/>
  <c r="A36" i="75"/>
  <c r="D35" i="75"/>
  <c r="C35" i="75"/>
  <c r="B35" i="75"/>
  <c r="A35" i="75"/>
  <c r="D34" i="75"/>
  <c r="C34" i="75"/>
  <c r="B34" i="75"/>
  <c r="A34" i="75"/>
  <c r="D33" i="75"/>
  <c r="C33" i="75"/>
  <c r="B33" i="75"/>
  <c r="A33" i="75"/>
  <c r="D32" i="75"/>
  <c r="C32" i="75"/>
  <c r="B32" i="75"/>
  <c r="A32" i="75"/>
  <c r="D31" i="75"/>
  <c r="C31" i="75"/>
  <c r="B31" i="75"/>
  <c r="A31" i="75"/>
  <c r="D30" i="75"/>
  <c r="C30" i="75"/>
  <c r="B30" i="75"/>
  <c r="A30" i="75"/>
  <c r="D29" i="75"/>
  <c r="C29" i="75"/>
  <c r="B29" i="75"/>
  <c r="A29" i="75"/>
  <c r="D28" i="75"/>
  <c r="C28" i="75"/>
  <c r="B28" i="75"/>
  <c r="A28" i="75"/>
  <c r="D27" i="75"/>
  <c r="C27" i="75"/>
  <c r="B27" i="75"/>
  <c r="A27" i="75"/>
  <c r="D26" i="75"/>
  <c r="C26" i="75"/>
  <c r="B26" i="75"/>
  <c r="A26" i="75"/>
  <c r="D25" i="75"/>
  <c r="C25" i="75"/>
  <c r="B25" i="75"/>
  <c r="A25" i="75"/>
  <c r="D24" i="75"/>
  <c r="C24" i="75"/>
  <c r="B24" i="75"/>
  <c r="A24" i="75"/>
  <c r="D23" i="75"/>
  <c r="C23" i="75"/>
  <c r="B23" i="75"/>
  <c r="A23" i="75"/>
  <c r="D22" i="75"/>
  <c r="C22" i="75"/>
  <c r="B22" i="75"/>
  <c r="A22" i="75"/>
  <c r="D21" i="75"/>
  <c r="C21" i="75"/>
  <c r="B21" i="75"/>
  <c r="A21" i="75"/>
  <c r="D20" i="75"/>
  <c r="C20" i="75"/>
  <c r="B20" i="75"/>
  <c r="A20" i="75"/>
  <c r="D19" i="75"/>
  <c r="C19" i="75"/>
  <c r="B19" i="75"/>
  <c r="A19" i="75"/>
  <c r="D18" i="75"/>
  <c r="C18" i="75"/>
  <c r="B18" i="75"/>
  <c r="A18" i="75"/>
  <c r="D17" i="75"/>
  <c r="C17" i="75"/>
  <c r="B17" i="75"/>
  <c r="D16" i="75"/>
  <c r="C16" i="75"/>
  <c r="B16" i="75"/>
  <c r="A16" i="75"/>
  <c r="D15" i="75"/>
  <c r="C15" i="75"/>
  <c r="B15" i="75"/>
  <c r="D14" i="75"/>
  <c r="C14" i="75"/>
  <c r="B14" i="75"/>
  <c r="A14" i="75"/>
  <c r="D13" i="75"/>
  <c r="C13" i="75"/>
  <c r="B13" i="75"/>
  <c r="A13" i="75"/>
  <c r="D12" i="75"/>
  <c r="C12" i="75"/>
  <c r="B12" i="75"/>
  <c r="A12" i="75"/>
  <c r="D11" i="75"/>
  <c r="C11" i="75"/>
  <c r="B11" i="75"/>
  <c r="A11" i="75"/>
  <c r="D10" i="75"/>
  <c r="C10" i="75"/>
  <c r="B10" i="75"/>
  <c r="A10" i="75"/>
  <c r="D9" i="75"/>
  <c r="C9" i="75"/>
  <c r="B9" i="75"/>
  <c r="A9" i="75"/>
  <c r="D8" i="75"/>
  <c r="C8" i="75"/>
  <c r="B8" i="75"/>
  <c r="A8" i="75"/>
  <c r="D7" i="75"/>
  <c r="C7" i="75"/>
  <c r="B7" i="75"/>
  <c r="A7" i="75"/>
  <c r="D6" i="75"/>
  <c r="C6" i="75"/>
  <c r="B6" i="75"/>
  <c r="A6" i="75"/>
  <c r="D48" i="74"/>
  <c r="C48" i="74"/>
  <c r="B48" i="74"/>
  <c r="A48" i="74"/>
  <c r="D47" i="74"/>
  <c r="C47" i="74"/>
  <c r="B47" i="74"/>
  <c r="A47" i="74"/>
  <c r="D46" i="74"/>
  <c r="C46" i="74"/>
  <c r="B46" i="74"/>
  <c r="A46" i="74"/>
  <c r="D45" i="74"/>
  <c r="C45" i="74"/>
  <c r="B45" i="74"/>
  <c r="D42" i="74"/>
  <c r="C42" i="74"/>
  <c r="B42" i="74"/>
  <c r="A42" i="74"/>
  <c r="D41" i="74"/>
  <c r="C41" i="74"/>
  <c r="B41" i="74"/>
  <c r="A41" i="74"/>
  <c r="D40" i="74"/>
  <c r="C40" i="74"/>
  <c r="B40" i="74"/>
  <c r="A40" i="74"/>
  <c r="D39" i="74"/>
  <c r="C39" i="74"/>
  <c r="B39" i="74"/>
  <c r="A39" i="74"/>
  <c r="D38" i="74"/>
  <c r="C38" i="74"/>
  <c r="B38" i="74"/>
  <c r="A38" i="74"/>
  <c r="D37" i="74"/>
  <c r="C37" i="74"/>
  <c r="B37" i="74"/>
  <c r="A37" i="74"/>
  <c r="D36" i="74"/>
  <c r="C36" i="74"/>
  <c r="B36" i="74"/>
  <c r="A36" i="74"/>
  <c r="D35" i="74"/>
  <c r="C35" i="74"/>
  <c r="B35" i="74"/>
  <c r="A35" i="74"/>
  <c r="D34" i="74"/>
  <c r="C34" i="74"/>
  <c r="B34" i="74"/>
  <c r="A34" i="74"/>
  <c r="D33" i="74"/>
  <c r="C33" i="74"/>
  <c r="B33" i="74"/>
  <c r="A33" i="74"/>
  <c r="D32" i="74"/>
  <c r="C32" i="74"/>
  <c r="B32" i="74"/>
  <c r="A32" i="74"/>
  <c r="D31" i="74"/>
  <c r="C31" i="74"/>
  <c r="B31" i="74"/>
  <c r="A31" i="74"/>
  <c r="D30" i="74"/>
  <c r="C30" i="74"/>
  <c r="B30" i="74"/>
  <c r="A30" i="74"/>
  <c r="D29" i="74"/>
  <c r="C29" i="74"/>
  <c r="B29" i="74"/>
  <c r="A29" i="74"/>
  <c r="D28" i="74"/>
  <c r="C28" i="74"/>
  <c r="B28" i="74"/>
  <c r="A28" i="74"/>
  <c r="D27" i="74"/>
  <c r="C27" i="74"/>
  <c r="B27" i="74"/>
  <c r="A27" i="74"/>
  <c r="D26" i="74"/>
  <c r="C26" i="74"/>
  <c r="B26" i="74"/>
  <c r="A26" i="74"/>
  <c r="D25" i="74"/>
  <c r="C25" i="74"/>
  <c r="B25" i="74"/>
  <c r="A25" i="74"/>
  <c r="D24" i="74"/>
  <c r="C24" i="74"/>
  <c r="B24" i="74"/>
  <c r="A24" i="74"/>
  <c r="D23" i="74"/>
  <c r="C23" i="74"/>
  <c r="B23" i="74"/>
  <c r="A23" i="74"/>
  <c r="D22" i="74"/>
  <c r="C22" i="74"/>
  <c r="B22" i="74"/>
  <c r="A22" i="74"/>
  <c r="D21" i="74"/>
  <c r="C21" i="74"/>
  <c r="B21" i="74"/>
  <c r="A21" i="74"/>
  <c r="D20" i="74"/>
  <c r="C20" i="74"/>
  <c r="B20" i="74"/>
  <c r="A20" i="74"/>
  <c r="D19" i="74"/>
  <c r="C19" i="74"/>
  <c r="B19" i="74"/>
  <c r="A19" i="74"/>
  <c r="D18" i="74"/>
  <c r="C18" i="74"/>
  <c r="B18" i="74"/>
  <c r="A18" i="74"/>
  <c r="D17" i="74"/>
  <c r="C17" i="74"/>
  <c r="B17" i="74"/>
  <c r="D16" i="74"/>
  <c r="C16" i="74"/>
  <c r="B16" i="74"/>
  <c r="A16" i="74"/>
  <c r="D15" i="74"/>
  <c r="C15" i="74"/>
  <c r="B15" i="74"/>
  <c r="D14" i="74"/>
  <c r="C14" i="74"/>
  <c r="B14" i="74"/>
  <c r="A14" i="74"/>
  <c r="D13" i="74"/>
  <c r="C13" i="74"/>
  <c r="B13" i="74"/>
  <c r="A13" i="74"/>
  <c r="D12" i="74"/>
  <c r="C12" i="74"/>
  <c r="B12" i="74"/>
  <c r="A12" i="74"/>
  <c r="D11" i="74"/>
  <c r="C11" i="74"/>
  <c r="B11" i="74"/>
  <c r="A11" i="74"/>
  <c r="D10" i="74"/>
  <c r="C10" i="74"/>
  <c r="B10" i="74"/>
  <c r="A10" i="74"/>
  <c r="D9" i="74"/>
  <c r="C9" i="74"/>
  <c r="B9" i="74"/>
  <c r="A9" i="74"/>
  <c r="D8" i="74"/>
  <c r="C8" i="74"/>
  <c r="B8" i="74"/>
  <c r="A8" i="74"/>
  <c r="D7" i="74"/>
  <c r="C7" i="74"/>
  <c r="B7" i="74"/>
  <c r="A7" i="74"/>
  <c r="D6" i="74"/>
  <c r="C6" i="74"/>
  <c r="B6" i="74"/>
  <c r="A6" i="74"/>
  <c r="D48" i="73"/>
  <c r="C48" i="73"/>
  <c r="B48" i="73"/>
  <c r="A48" i="73"/>
  <c r="D47" i="73"/>
  <c r="C47" i="73"/>
  <c r="B47" i="73"/>
  <c r="A47" i="73"/>
  <c r="D46" i="73"/>
  <c r="C46" i="73"/>
  <c r="B46" i="73"/>
  <c r="A46" i="73"/>
  <c r="D42" i="73"/>
  <c r="C42" i="73"/>
  <c r="B42" i="73"/>
  <c r="A42" i="73"/>
  <c r="D41" i="73"/>
  <c r="C41" i="73"/>
  <c r="B41" i="73"/>
  <c r="A41" i="73"/>
  <c r="D40" i="73"/>
  <c r="C40" i="73"/>
  <c r="B40" i="73"/>
  <c r="A40" i="73"/>
  <c r="D39" i="73"/>
  <c r="C39" i="73"/>
  <c r="B39" i="73"/>
  <c r="A39" i="73"/>
  <c r="D38" i="73"/>
  <c r="C38" i="73"/>
  <c r="B38" i="73"/>
  <c r="A38" i="73"/>
  <c r="D37" i="73"/>
  <c r="C37" i="73"/>
  <c r="B37" i="73"/>
  <c r="A37" i="73"/>
  <c r="D36" i="73"/>
  <c r="C36" i="73"/>
  <c r="B36" i="73"/>
  <c r="A36" i="73"/>
  <c r="D35" i="73"/>
  <c r="C35" i="73"/>
  <c r="B35" i="73"/>
  <c r="A35" i="73"/>
  <c r="D34" i="73"/>
  <c r="C34" i="73"/>
  <c r="B34" i="73"/>
  <c r="A34" i="73"/>
  <c r="D33" i="73"/>
  <c r="C33" i="73"/>
  <c r="B33" i="73"/>
  <c r="A33" i="73"/>
  <c r="D32" i="73"/>
  <c r="C32" i="73"/>
  <c r="B32" i="73"/>
  <c r="A32" i="73"/>
  <c r="D31" i="73"/>
  <c r="C31" i="73"/>
  <c r="B31" i="73"/>
  <c r="A31" i="73"/>
  <c r="D30" i="73"/>
  <c r="C30" i="73"/>
  <c r="B30" i="73"/>
  <c r="A30" i="73"/>
  <c r="D29" i="73"/>
  <c r="C29" i="73"/>
  <c r="B29" i="73"/>
  <c r="A29" i="73"/>
  <c r="D28" i="73"/>
  <c r="C28" i="73"/>
  <c r="B28" i="73"/>
  <c r="A28" i="73"/>
  <c r="D27" i="73"/>
  <c r="C27" i="73"/>
  <c r="B27" i="73"/>
  <c r="A27" i="73"/>
  <c r="D26" i="73"/>
  <c r="C26" i="73"/>
  <c r="B26" i="73"/>
  <c r="A26" i="73"/>
  <c r="D25" i="73"/>
  <c r="C25" i="73"/>
  <c r="B25" i="73"/>
  <c r="A25" i="73"/>
  <c r="D24" i="73"/>
  <c r="C24" i="73"/>
  <c r="B24" i="73"/>
  <c r="A24" i="73"/>
  <c r="D23" i="73"/>
  <c r="C23" i="73"/>
  <c r="B23" i="73"/>
  <c r="A23" i="73"/>
  <c r="D22" i="73"/>
  <c r="C22" i="73"/>
  <c r="B22" i="73"/>
  <c r="A22" i="73"/>
  <c r="D21" i="73"/>
  <c r="C21" i="73"/>
  <c r="B21" i="73"/>
  <c r="A21" i="73"/>
  <c r="D20" i="73"/>
  <c r="C20" i="73"/>
  <c r="B20" i="73"/>
  <c r="A20" i="73"/>
  <c r="D19" i="73"/>
  <c r="C19" i="73"/>
  <c r="B19" i="73"/>
  <c r="A19" i="73"/>
  <c r="D18" i="73"/>
  <c r="C18" i="73"/>
  <c r="B18" i="73"/>
  <c r="A18" i="73"/>
  <c r="D17" i="73"/>
  <c r="C17" i="73"/>
  <c r="B17" i="73"/>
  <c r="D16" i="73"/>
  <c r="C16" i="73"/>
  <c r="B16" i="73"/>
  <c r="A16" i="73"/>
  <c r="D15" i="73"/>
  <c r="C15" i="73"/>
  <c r="B15" i="73"/>
  <c r="D14" i="73"/>
  <c r="C14" i="73"/>
  <c r="B14" i="73"/>
  <c r="A14" i="73"/>
  <c r="D13" i="73"/>
  <c r="C13" i="73"/>
  <c r="B13" i="73"/>
  <c r="A13" i="73"/>
  <c r="D12" i="73"/>
  <c r="C12" i="73"/>
  <c r="B12" i="73"/>
  <c r="A12" i="73"/>
  <c r="D11" i="73"/>
  <c r="C11" i="73"/>
  <c r="B11" i="73"/>
  <c r="A11" i="73"/>
  <c r="D10" i="73"/>
  <c r="C10" i="73"/>
  <c r="B10" i="73"/>
  <c r="A10" i="73"/>
  <c r="D9" i="73"/>
  <c r="C9" i="73"/>
  <c r="B9" i="73"/>
  <c r="A9" i="73"/>
  <c r="D8" i="73"/>
  <c r="C8" i="73"/>
  <c r="B8" i="73"/>
  <c r="A8" i="73"/>
  <c r="D7" i="73"/>
  <c r="C7" i="73"/>
  <c r="B7" i="73"/>
  <c r="A7" i="73"/>
  <c r="D6" i="73"/>
  <c r="C6" i="73"/>
  <c r="B6" i="73"/>
  <c r="A6" i="73"/>
  <c r="D48" i="72"/>
  <c r="C48" i="72"/>
  <c r="B48" i="72"/>
  <c r="A48" i="72"/>
  <c r="D47" i="72"/>
  <c r="C47" i="72"/>
  <c r="B47" i="72"/>
  <c r="A47" i="72"/>
  <c r="D46" i="72"/>
  <c r="C46" i="72"/>
  <c r="B46" i="72"/>
  <c r="A46" i="72"/>
  <c r="D45" i="72"/>
  <c r="C45" i="72"/>
  <c r="B45" i="72"/>
  <c r="D42" i="72"/>
  <c r="C42" i="72"/>
  <c r="B42" i="72"/>
  <c r="A42" i="72"/>
  <c r="D41" i="72"/>
  <c r="C41" i="72"/>
  <c r="B41" i="72"/>
  <c r="A41" i="72"/>
  <c r="D40" i="72"/>
  <c r="C40" i="72"/>
  <c r="B40" i="72"/>
  <c r="A40" i="72"/>
  <c r="D39" i="72"/>
  <c r="C39" i="72"/>
  <c r="B39" i="72"/>
  <c r="A39" i="72"/>
  <c r="D38" i="72"/>
  <c r="C38" i="72"/>
  <c r="B38" i="72"/>
  <c r="A38" i="72"/>
  <c r="D37" i="72"/>
  <c r="C37" i="72"/>
  <c r="B37" i="72"/>
  <c r="A37" i="72"/>
  <c r="D36" i="72"/>
  <c r="C36" i="72"/>
  <c r="B36" i="72"/>
  <c r="A36" i="72"/>
  <c r="D35" i="72"/>
  <c r="C35" i="72"/>
  <c r="B35" i="72"/>
  <c r="A35" i="72"/>
  <c r="D34" i="72"/>
  <c r="C34" i="72"/>
  <c r="B34" i="72"/>
  <c r="A34" i="72"/>
  <c r="D33" i="72"/>
  <c r="C33" i="72"/>
  <c r="B33" i="72"/>
  <c r="A33" i="72"/>
  <c r="D32" i="72"/>
  <c r="C32" i="72"/>
  <c r="B32" i="72"/>
  <c r="A32" i="72"/>
  <c r="D31" i="72"/>
  <c r="C31" i="72"/>
  <c r="B31" i="72"/>
  <c r="A31" i="72"/>
  <c r="D30" i="72"/>
  <c r="C30" i="72"/>
  <c r="B30" i="72"/>
  <c r="A30" i="72"/>
  <c r="D29" i="72"/>
  <c r="C29" i="72"/>
  <c r="B29" i="72"/>
  <c r="A29" i="72"/>
  <c r="D28" i="72"/>
  <c r="C28" i="72"/>
  <c r="B28" i="72"/>
  <c r="A28" i="72"/>
  <c r="D27" i="72"/>
  <c r="C27" i="72"/>
  <c r="B27" i="72"/>
  <c r="A27" i="72"/>
  <c r="D26" i="72"/>
  <c r="C26" i="72"/>
  <c r="B26" i="72"/>
  <c r="A26" i="72"/>
  <c r="D25" i="72"/>
  <c r="C25" i="72"/>
  <c r="B25" i="72"/>
  <c r="A25" i="72"/>
  <c r="D24" i="72"/>
  <c r="C24" i="72"/>
  <c r="B24" i="72"/>
  <c r="A24" i="72"/>
  <c r="D23" i="72"/>
  <c r="C23" i="72"/>
  <c r="B23" i="72"/>
  <c r="A23" i="72"/>
  <c r="D22" i="72"/>
  <c r="C22" i="72"/>
  <c r="B22" i="72"/>
  <c r="A22" i="72"/>
  <c r="D21" i="72"/>
  <c r="C21" i="72"/>
  <c r="B21" i="72"/>
  <c r="A21" i="72"/>
  <c r="D20" i="72"/>
  <c r="C20" i="72"/>
  <c r="B20" i="72"/>
  <c r="A20" i="72"/>
  <c r="D19" i="72"/>
  <c r="C19" i="72"/>
  <c r="B19" i="72"/>
  <c r="A19" i="72"/>
  <c r="D18" i="72"/>
  <c r="C18" i="72"/>
  <c r="B18" i="72"/>
  <c r="A18" i="72"/>
  <c r="D17" i="72"/>
  <c r="C17" i="72"/>
  <c r="B17" i="72"/>
  <c r="D16" i="72"/>
  <c r="C16" i="72"/>
  <c r="B16" i="72"/>
  <c r="A16" i="72"/>
  <c r="D15" i="72"/>
  <c r="C15" i="72"/>
  <c r="B15" i="72"/>
  <c r="D14" i="72"/>
  <c r="C14" i="72"/>
  <c r="B14" i="72"/>
  <c r="A14" i="72"/>
  <c r="D13" i="72"/>
  <c r="C13" i="72"/>
  <c r="B13" i="72"/>
  <c r="A13" i="72"/>
  <c r="D12" i="72"/>
  <c r="C12" i="72"/>
  <c r="B12" i="72"/>
  <c r="A12" i="72"/>
  <c r="D11" i="72"/>
  <c r="C11" i="72"/>
  <c r="B11" i="72"/>
  <c r="A11" i="72"/>
  <c r="D10" i="72"/>
  <c r="C10" i="72"/>
  <c r="B10" i="72"/>
  <c r="A10" i="72"/>
  <c r="D9" i="72"/>
  <c r="C9" i="72"/>
  <c r="B9" i="72"/>
  <c r="A9" i="72"/>
  <c r="D8" i="72"/>
  <c r="C8" i="72"/>
  <c r="B8" i="72"/>
  <c r="A8" i="72"/>
  <c r="D7" i="72"/>
  <c r="C7" i="72"/>
  <c r="B7" i="72"/>
  <c r="A7" i="72"/>
  <c r="D6" i="72"/>
  <c r="C6" i="72"/>
  <c r="B6" i="72"/>
  <c r="A6" i="72"/>
  <c r="D48" i="7"/>
  <c r="C48" i="7"/>
  <c r="B48" i="7"/>
  <c r="A48" i="7"/>
  <c r="D47" i="7"/>
  <c r="C47" i="7"/>
  <c r="B47" i="7"/>
  <c r="A47" i="7"/>
  <c r="D46" i="7"/>
  <c r="C46" i="7"/>
  <c r="B46" i="7"/>
  <c r="A46" i="7"/>
  <c r="D45" i="7"/>
  <c r="C45" i="7"/>
  <c r="B45" i="7"/>
  <c r="D42" i="7"/>
  <c r="C42" i="7"/>
  <c r="B42" i="7"/>
  <c r="A42" i="7"/>
  <c r="D41" i="7"/>
  <c r="C41" i="7"/>
  <c r="B41" i="7"/>
  <c r="A41" i="7"/>
  <c r="D40" i="7"/>
  <c r="C40" i="7"/>
  <c r="B40" i="7"/>
  <c r="A40" i="7"/>
  <c r="D39" i="7"/>
  <c r="C39" i="7"/>
  <c r="B39" i="7"/>
  <c r="A39" i="7"/>
  <c r="D38" i="7"/>
  <c r="C38" i="7"/>
  <c r="B38" i="7"/>
  <c r="A38" i="7"/>
  <c r="D37" i="7"/>
  <c r="C37" i="7"/>
  <c r="B37" i="7"/>
  <c r="A37" i="7"/>
  <c r="D36" i="7"/>
  <c r="C36" i="7"/>
  <c r="B36" i="7"/>
  <c r="A36" i="7"/>
  <c r="D35" i="7"/>
  <c r="C35" i="7"/>
  <c r="B35" i="7"/>
  <c r="A35" i="7"/>
  <c r="D34" i="7"/>
  <c r="C34" i="7"/>
  <c r="B34" i="7"/>
  <c r="A34" i="7"/>
  <c r="D33" i="7"/>
  <c r="C33" i="7"/>
  <c r="B33" i="7"/>
  <c r="A33" i="7"/>
  <c r="D32" i="7"/>
  <c r="C32" i="7"/>
  <c r="B32" i="7"/>
  <c r="A32" i="7"/>
  <c r="D31" i="7"/>
  <c r="C31" i="7"/>
  <c r="B31" i="7"/>
  <c r="A31" i="7"/>
  <c r="D30" i="7"/>
  <c r="C30" i="7"/>
  <c r="B30" i="7"/>
  <c r="A30" i="7"/>
  <c r="D29" i="7"/>
  <c r="C29" i="7"/>
  <c r="B29" i="7"/>
  <c r="A29" i="7"/>
  <c r="D28" i="7"/>
  <c r="C28" i="7"/>
  <c r="B28" i="7"/>
  <c r="A28" i="7"/>
  <c r="D27" i="7"/>
  <c r="C27" i="7"/>
  <c r="B27" i="7"/>
  <c r="A27" i="7"/>
  <c r="D26" i="7"/>
  <c r="C26" i="7"/>
  <c r="B26" i="7"/>
  <c r="A26" i="7"/>
  <c r="D25" i="7"/>
  <c r="C25" i="7"/>
  <c r="B25" i="7"/>
  <c r="A25" i="7"/>
  <c r="D24" i="7"/>
  <c r="C24" i="7"/>
  <c r="B24" i="7"/>
  <c r="A24" i="7"/>
  <c r="D23" i="7"/>
  <c r="C23" i="7"/>
  <c r="B23" i="7"/>
  <c r="A23" i="7"/>
  <c r="D22" i="7"/>
  <c r="C22" i="7"/>
  <c r="B22" i="7"/>
  <c r="A22" i="7"/>
  <c r="D21" i="7"/>
  <c r="C21" i="7"/>
  <c r="B21" i="7"/>
  <c r="A21" i="7"/>
  <c r="D20" i="7"/>
  <c r="C20" i="7"/>
  <c r="B20" i="7"/>
  <c r="A20" i="7"/>
  <c r="D19" i="7"/>
  <c r="C19" i="7"/>
  <c r="B19" i="7"/>
  <c r="A19" i="7"/>
  <c r="D18" i="7"/>
  <c r="C18" i="7"/>
  <c r="B18" i="7"/>
  <c r="A18" i="7"/>
  <c r="D17" i="7"/>
  <c r="C17" i="7"/>
  <c r="B17" i="7"/>
  <c r="D16" i="7"/>
  <c r="C16" i="7"/>
  <c r="B16" i="7"/>
  <c r="A16" i="7"/>
  <c r="D15" i="7"/>
  <c r="C15" i="7"/>
  <c r="B15" i="7"/>
  <c r="D14" i="7"/>
  <c r="C14" i="7"/>
  <c r="B14" i="7"/>
  <c r="A14" i="7"/>
  <c r="D13" i="7"/>
  <c r="C13" i="7"/>
  <c r="B13" i="7"/>
  <c r="A13" i="7"/>
  <c r="D12" i="7"/>
  <c r="C12" i="7"/>
  <c r="B12" i="7"/>
  <c r="A12" i="7"/>
  <c r="D11" i="7"/>
  <c r="C11" i="7"/>
  <c r="B11" i="7"/>
  <c r="A11" i="7"/>
  <c r="D10" i="7"/>
  <c r="C10" i="7"/>
  <c r="B10" i="7"/>
  <c r="A10" i="7"/>
  <c r="D9" i="7"/>
  <c r="C9" i="7"/>
  <c r="B9" i="7"/>
  <c r="A9" i="7"/>
  <c r="D8" i="7"/>
  <c r="C8" i="7"/>
  <c r="B8" i="7"/>
  <c r="A8" i="7"/>
  <c r="D7" i="7"/>
  <c r="C7" i="7"/>
  <c r="B7" i="7"/>
  <c r="A7" i="7"/>
  <c r="D6" i="7"/>
  <c r="C6" i="7"/>
  <c r="B6" i="7"/>
  <c r="A6" i="7"/>
  <c r="D48" i="100"/>
  <c r="C48" i="100"/>
  <c r="B48" i="100"/>
  <c r="A48" i="100"/>
  <c r="D47" i="100"/>
  <c r="C47" i="100"/>
  <c r="B47" i="100"/>
  <c r="A47" i="100"/>
  <c r="D46" i="100"/>
  <c r="C46" i="100"/>
  <c r="B46" i="100"/>
  <c r="A46" i="100"/>
  <c r="D45" i="100"/>
  <c r="C45" i="100"/>
  <c r="B45" i="100"/>
  <c r="D42" i="100"/>
  <c r="C42" i="100"/>
  <c r="B42" i="100"/>
  <c r="A42" i="100"/>
  <c r="D41" i="100"/>
  <c r="C41" i="100"/>
  <c r="B41" i="100"/>
  <c r="A41" i="100"/>
  <c r="D40" i="100"/>
  <c r="C40" i="100"/>
  <c r="B40" i="100"/>
  <c r="A40" i="100"/>
  <c r="D39" i="100"/>
  <c r="C39" i="100"/>
  <c r="B39" i="100"/>
  <c r="A39" i="100"/>
  <c r="D38" i="100"/>
  <c r="C38" i="100"/>
  <c r="B38" i="100"/>
  <c r="A38" i="100"/>
  <c r="D37" i="100"/>
  <c r="C37" i="100"/>
  <c r="B37" i="100"/>
  <c r="A37" i="100"/>
  <c r="D36" i="100"/>
  <c r="C36" i="100"/>
  <c r="B36" i="100"/>
  <c r="A36" i="100"/>
  <c r="D35" i="100"/>
  <c r="C35" i="100"/>
  <c r="B35" i="100"/>
  <c r="A35" i="100"/>
  <c r="D34" i="100"/>
  <c r="C34" i="100"/>
  <c r="B34" i="100"/>
  <c r="A34" i="100"/>
  <c r="D33" i="100"/>
  <c r="C33" i="100"/>
  <c r="B33" i="100"/>
  <c r="A33" i="100"/>
  <c r="D32" i="100"/>
  <c r="C32" i="100"/>
  <c r="B32" i="100"/>
  <c r="A32" i="100"/>
  <c r="D31" i="100"/>
  <c r="C31" i="100"/>
  <c r="B31" i="100"/>
  <c r="A31" i="100"/>
  <c r="D30" i="100"/>
  <c r="C30" i="100"/>
  <c r="B30" i="100"/>
  <c r="A30" i="100"/>
  <c r="D29" i="100"/>
  <c r="C29" i="100"/>
  <c r="B29" i="100"/>
  <c r="A29" i="100"/>
  <c r="D28" i="100"/>
  <c r="C28" i="100"/>
  <c r="B28" i="100"/>
  <c r="A28" i="100"/>
  <c r="D27" i="100"/>
  <c r="C27" i="100"/>
  <c r="B27" i="100"/>
  <c r="A27" i="100"/>
  <c r="D26" i="100"/>
  <c r="C26" i="100"/>
  <c r="B26" i="100"/>
  <c r="A26" i="100"/>
  <c r="D25" i="100"/>
  <c r="C25" i="100"/>
  <c r="B25" i="100"/>
  <c r="A25" i="100"/>
  <c r="D24" i="100"/>
  <c r="C24" i="100"/>
  <c r="B24" i="100"/>
  <c r="A24" i="100"/>
  <c r="D23" i="100"/>
  <c r="C23" i="100"/>
  <c r="B23" i="100"/>
  <c r="A23" i="100"/>
  <c r="D22" i="100"/>
  <c r="C22" i="100"/>
  <c r="B22" i="100"/>
  <c r="A22" i="100"/>
  <c r="D21" i="100"/>
  <c r="C21" i="100"/>
  <c r="B21" i="100"/>
  <c r="A21" i="100"/>
  <c r="D20" i="100"/>
  <c r="C20" i="100"/>
  <c r="B20" i="100"/>
  <c r="A20" i="100"/>
  <c r="D19" i="100"/>
  <c r="C19" i="100"/>
  <c r="B19" i="100"/>
  <c r="A19" i="100"/>
  <c r="D18" i="100"/>
  <c r="C18" i="100"/>
  <c r="B18" i="100"/>
  <c r="A18" i="100"/>
  <c r="D17" i="100"/>
  <c r="C17" i="100"/>
  <c r="B17" i="100"/>
  <c r="D16" i="100"/>
  <c r="C16" i="100"/>
  <c r="B16" i="100"/>
  <c r="A16" i="100"/>
  <c r="D15" i="100"/>
  <c r="C15" i="100"/>
  <c r="B15" i="100"/>
  <c r="D14" i="100"/>
  <c r="C14" i="100"/>
  <c r="B14" i="100"/>
  <c r="A14" i="100"/>
  <c r="D13" i="100"/>
  <c r="C13" i="100"/>
  <c r="B13" i="100"/>
  <c r="A13" i="100"/>
  <c r="D12" i="100"/>
  <c r="C12" i="100"/>
  <c r="B12" i="100"/>
  <c r="A12" i="100"/>
  <c r="D11" i="100"/>
  <c r="C11" i="100"/>
  <c r="B11" i="100"/>
  <c r="A11" i="100"/>
  <c r="D10" i="100"/>
  <c r="C10" i="100"/>
  <c r="B10" i="100"/>
  <c r="A10" i="100"/>
  <c r="D9" i="100"/>
  <c r="C9" i="100"/>
  <c r="B9" i="100"/>
  <c r="A9" i="100"/>
  <c r="D8" i="100"/>
  <c r="C8" i="100"/>
  <c r="B8" i="100"/>
  <c r="A8" i="100"/>
  <c r="D7" i="100"/>
  <c r="C7" i="100"/>
  <c r="B7" i="100"/>
  <c r="A7" i="100"/>
  <c r="D6" i="100"/>
  <c r="C6" i="100"/>
  <c r="B6" i="100"/>
  <c r="A6" i="100"/>
  <c r="D48" i="101"/>
  <c r="C48" i="101"/>
  <c r="B48" i="101"/>
  <c r="A48" i="101"/>
  <c r="D47" i="101"/>
  <c r="C47" i="101"/>
  <c r="B47" i="101"/>
  <c r="A47" i="101"/>
  <c r="D46" i="101"/>
  <c r="C46" i="101"/>
  <c r="B46" i="101"/>
  <c r="A46" i="101"/>
  <c r="D45" i="101"/>
  <c r="C45" i="101"/>
  <c r="B45" i="101"/>
  <c r="D42" i="101"/>
  <c r="C42" i="101"/>
  <c r="B42" i="101"/>
  <c r="A42" i="101"/>
  <c r="D41" i="101"/>
  <c r="C41" i="101"/>
  <c r="B41" i="101"/>
  <c r="A41" i="101"/>
  <c r="D40" i="101"/>
  <c r="C40" i="101"/>
  <c r="B40" i="101"/>
  <c r="A40" i="101"/>
  <c r="D39" i="101"/>
  <c r="C39" i="101"/>
  <c r="B39" i="101"/>
  <c r="A39" i="101"/>
  <c r="D38" i="101"/>
  <c r="C38" i="101"/>
  <c r="B38" i="101"/>
  <c r="A38" i="101"/>
  <c r="D37" i="101"/>
  <c r="C37" i="101"/>
  <c r="B37" i="101"/>
  <c r="A37" i="101"/>
  <c r="D36" i="101"/>
  <c r="C36" i="101"/>
  <c r="B36" i="101"/>
  <c r="A36" i="101"/>
  <c r="D35" i="101"/>
  <c r="C35" i="101"/>
  <c r="B35" i="101"/>
  <c r="A35" i="101"/>
  <c r="D34" i="101"/>
  <c r="C34" i="101"/>
  <c r="B34" i="101"/>
  <c r="A34" i="101"/>
  <c r="D33" i="101"/>
  <c r="C33" i="101"/>
  <c r="B33" i="101"/>
  <c r="A33" i="101"/>
  <c r="D32" i="101"/>
  <c r="C32" i="101"/>
  <c r="B32" i="101"/>
  <c r="A32" i="101"/>
  <c r="D31" i="101"/>
  <c r="C31" i="101"/>
  <c r="B31" i="101"/>
  <c r="A31" i="101"/>
  <c r="D30" i="101"/>
  <c r="C30" i="101"/>
  <c r="B30" i="101"/>
  <c r="A30" i="101"/>
  <c r="D29" i="101"/>
  <c r="C29" i="101"/>
  <c r="B29" i="101"/>
  <c r="A29" i="101"/>
  <c r="D28" i="101"/>
  <c r="C28" i="101"/>
  <c r="B28" i="101"/>
  <c r="A28" i="101"/>
  <c r="D27" i="101"/>
  <c r="C27" i="101"/>
  <c r="B27" i="101"/>
  <c r="A27" i="101"/>
  <c r="D26" i="101"/>
  <c r="C26" i="101"/>
  <c r="B26" i="101"/>
  <c r="A26" i="101"/>
  <c r="D25" i="101"/>
  <c r="C25" i="101"/>
  <c r="B25" i="101"/>
  <c r="A25" i="101"/>
  <c r="D24" i="101"/>
  <c r="C24" i="101"/>
  <c r="B24" i="101"/>
  <c r="A24" i="101"/>
  <c r="D23" i="101"/>
  <c r="C23" i="101"/>
  <c r="B23" i="101"/>
  <c r="A23" i="101"/>
  <c r="D22" i="101"/>
  <c r="C22" i="101"/>
  <c r="B22" i="101"/>
  <c r="A22" i="101"/>
  <c r="D21" i="101"/>
  <c r="C21" i="101"/>
  <c r="B21" i="101"/>
  <c r="A21" i="101"/>
  <c r="D20" i="101"/>
  <c r="C20" i="101"/>
  <c r="B20" i="101"/>
  <c r="A20" i="101"/>
  <c r="D19" i="101"/>
  <c r="C19" i="101"/>
  <c r="B19" i="101"/>
  <c r="A19" i="101"/>
  <c r="D18" i="101"/>
  <c r="C18" i="101"/>
  <c r="B18" i="101"/>
  <c r="A18" i="101"/>
  <c r="D17" i="101"/>
  <c r="C17" i="101"/>
  <c r="B17" i="101"/>
  <c r="D16" i="101"/>
  <c r="C16" i="101"/>
  <c r="B16" i="101"/>
  <c r="A16" i="101"/>
  <c r="D15" i="101"/>
  <c r="C15" i="101"/>
  <c r="B15" i="101"/>
  <c r="D14" i="101"/>
  <c r="C14" i="101"/>
  <c r="B14" i="101"/>
  <c r="A14" i="101"/>
  <c r="D13" i="101"/>
  <c r="C13" i="101"/>
  <c r="B13" i="101"/>
  <c r="A13" i="101"/>
  <c r="D12" i="101"/>
  <c r="C12" i="101"/>
  <c r="B12" i="101"/>
  <c r="A12" i="101"/>
  <c r="D11" i="101"/>
  <c r="C11" i="101"/>
  <c r="B11" i="101"/>
  <c r="A11" i="101"/>
  <c r="D10" i="101"/>
  <c r="C10" i="101"/>
  <c r="B10" i="101"/>
  <c r="A10" i="101"/>
  <c r="D9" i="101"/>
  <c r="C9" i="101"/>
  <c r="B9" i="101"/>
  <c r="A9" i="101"/>
  <c r="D8" i="101"/>
  <c r="C8" i="101"/>
  <c r="B8" i="101"/>
  <c r="A8" i="101"/>
  <c r="D7" i="101"/>
  <c r="C7" i="101"/>
  <c r="B7" i="101"/>
  <c r="A7" i="101"/>
  <c r="D6" i="101"/>
  <c r="C6" i="101"/>
  <c r="B6" i="101"/>
  <c r="A6" i="101"/>
  <c r="D48" i="99"/>
  <c r="C48" i="99"/>
  <c r="B48" i="99"/>
  <c r="A48" i="99"/>
  <c r="D47" i="99"/>
  <c r="C47" i="99"/>
  <c r="B47" i="99"/>
  <c r="A47" i="99"/>
  <c r="D46" i="99"/>
  <c r="C46" i="99"/>
  <c r="B46" i="99"/>
  <c r="A46" i="99"/>
  <c r="D45" i="99"/>
  <c r="C45" i="99"/>
  <c r="B45" i="99"/>
  <c r="D42" i="99"/>
  <c r="C42" i="99"/>
  <c r="B42" i="99"/>
  <c r="A42" i="99"/>
  <c r="D41" i="99"/>
  <c r="C41" i="99"/>
  <c r="B41" i="99"/>
  <c r="A41" i="99"/>
  <c r="D40" i="99"/>
  <c r="C40" i="99"/>
  <c r="B40" i="99"/>
  <c r="A40" i="99"/>
  <c r="D39" i="99"/>
  <c r="C39" i="99"/>
  <c r="B39" i="99"/>
  <c r="A39" i="99"/>
  <c r="D38" i="99"/>
  <c r="C38" i="99"/>
  <c r="B38" i="99"/>
  <c r="A38" i="99"/>
  <c r="D37" i="99"/>
  <c r="C37" i="99"/>
  <c r="B37" i="99"/>
  <c r="A37" i="99"/>
  <c r="D36" i="99"/>
  <c r="C36" i="99"/>
  <c r="B36" i="99"/>
  <c r="A36" i="99"/>
  <c r="D35" i="99"/>
  <c r="C35" i="99"/>
  <c r="B35" i="99"/>
  <c r="A35" i="99"/>
  <c r="D34" i="99"/>
  <c r="C34" i="99"/>
  <c r="B34" i="99"/>
  <c r="A34" i="99"/>
  <c r="D33" i="99"/>
  <c r="C33" i="99"/>
  <c r="B33" i="99"/>
  <c r="A33" i="99"/>
  <c r="D32" i="99"/>
  <c r="C32" i="99"/>
  <c r="B32" i="99"/>
  <c r="A32" i="99"/>
  <c r="D31" i="99"/>
  <c r="C31" i="99"/>
  <c r="B31" i="99"/>
  <c r="A31" i="99"/>
  <c r="D30" i="99"/>
  <c r="C30" i="99"/>
  <c r="B30" i="99"/>
  <c r="A30" i="99"/>
  <c r="D29" i="99"/>
  <c r="C29" i="99"/>
  <c r="B29" i="99"/>
  <c r="A29" i="99"/>
  <c r="D28" i="99"/>
  <c r="C28" i="99"/>
  <c r="B28" i="99"/>
  <c r="A28" i="99"/>
  <c r="D27" i="99"/>
  <c r="C27" i="99"/>
  <c r="B27" i="99"/>
  <c r="A27" i="99"/>
  <c r="D26" i="99"/>
  <c r="C26" i="99"/>
  <c r="B26" i="99"/>
  <c r="A26" i="99"/>
  <c r="D25" i="99"/>
  <c r="C25" i="99"/>
  <c r="B25" i="99"/>
  <c r="A25" i="99"/>
  <c r="D24" i="99"/>
  <c r="C24" i="99"/>
  <c r="B24" i="99"/>
  <c r="A24" i="99"/>
  <c r="D23" i="99"/>
  <c r="C23" i="99"/>
  <c r="B23" i="99"/>
  <c r="A23" i="99"/>
  <c r="D22" i="99"/>
  <c r="C22" i="99"/>
  <c r="B22" i="99"/>
  <c r="A22" i="99"/>
  <c r="D21" i="99"/>
  <c r="C21" i="99"/>
  <c r="B21" i="99"/>
  <c r="A21" i="99"/>
  <c r="D20" i="99"/>
  <c r="C20" i="99"/>
  <c r="B20" i="99"/>
  <c r="A20" i="99"/>
  <c r="D19" i="99"/>
  <c r="C19" i="99"/>
  <c r="B19" i="99"/>
  <c r="A19" i="99"/>
  <c r="D18" i="99"/>
  <c r="C18" i="99"/>
  <c r="B18" i="99"/>
  <c r="A18" i="99"/>
  <c r="D17" i="99"/>
  <c r="C17" i="99"/>
  <c r="B17" i="99"/>
  <c r="D16" i="99"/>
  <c r="C16" i="99"/>
  <c r="B16" i="99"/>
  <c r="A16" i="99"/>
  <c r="D15" i="99"/>
  <c r="C15" i="99"/>
  <c r="B15" i="99"/>
  <c r="D14" i="99"/>
  <c r="C14" i="99"/>
  <c r="B14" i="99"/>
  <c r="A14" i="99"/>
  <c r="D13" i="99"/>
  <c r="C13" i="99"/>
  <c r="B13" i="99"/>
  <c r="A13" i="99"/>
  <c r="D12" i="99"/>
  <c r="C12" i="99"/>
  <c r="B12" i="99"/>
  <c r="A12" i="99"/>
  <c r="D11" i="99"/>
  <c r="C11" i="99"/>
  <c r="B11" i="99"/>
  <c r="A11" i="99"/>
  <c r="D10" i="99"/>
  <c r="C10" i="99"/>
  <c r="B10" i="99"/>
  <c r="A10" i="99"/>
  <c r="D9" i="99"/>
  <c r="C9" i="99"/>
  <c r="B9" i="99"/>
  <c r="A9" i="99"/>
  <c r="D8" i="99"/>
  <c r="C8" i="99"/>
  <c r="B8" i="99"/>
  <c r="A8" i="99"/>
  <c r="D7" i="99"/>
  <c r="C7" i="99"/>
  <c r="B7" i="99"/>
  <c r="A7" i="99"/>
  <c r="D6" i="99"/>
  <c r="C6" i="99"/>
  <c r="B6" i="99"/>
  <c r="A6" i="99"/>
  <c r="D48" i="98"/>
  <c r="C48" i="98"/>
  <c r="B48" i="98"/>
  <c r="A48" i="98"/>
  <c r="D47" i="98"/>
  <c r="C47" i="98"/>
  <c r="B47" i="98"/>
  <c r="A47" i="98"/>
  <c r="D46" i="98"/>
  <c r="C46" i="98"/>
  <c r="B46" i="98"/>
  <c r="A46" i="98"/>
  <c r="D45" i="98"/>
  <c r="C45" i="98"/>
  <c r="B45" i="98"/>
  <c r="D42" i="98"/>
  <c r="C42" i="98"/>
  <c r="B42" i="98"/>
  <c r="A42" i="98"/>
  <c r="D41" i="98"/>
  <c r="C41" i="98"/>
  <c r="B41" i="98"/>
  <c r="A41" i="98"/>
  <c r="D40" i="98"/>
  <c r="C40" i="98"/>
  <c r="B40" i="98"/>
  <c r="A40" i="98"/>
  <c r="D39" i="98"/>
  <c r="C39" i="98"/>
  <c r="B39" i="98"/>
  <c r="A39" i="98"/>
  <c r="D38" i="98"/>
  <c r="C38" i="98"/>
  <c r="B38" i="98"/>
  <c r="A38" i="98"/>
  <c r="D37" i="98"/>
  <c r="C37" i="98"/>
  <c r="B37" i="98"/>
  <c r="A37" i="98"/>
  <c r="D36" i="98"/>
  <c r="C36" i="98"/>
  <c r="B36" i="98"/>
  <c r="A36" i="98"/>
  <c r="D35" i="98"/>
  <c r="C35" i="98"/>
  <c r="B35" i="98"/>
  <c r="A35" i="98"/>
  <c r="D34" i="98"/>
  <c r="C34" i="98"/>
  <c r="B34" i="98"/>
  <c r="A34" i="98"/>
  <c r="D33" i="98"/>
  <c r="C33" i="98"/>
  <c r="B33" i="98"/>
  <c r="A33" i="98"/>
  <c r="D32" i="98"/>
  <c r="C32" i="98"/>
  <c r="B32" i="98"/>
  <c r="A32" i="98"/>
  <c r="D31" i="98"/>
  <c r="C31" i="98"/>
  <c r="B31" i="98"/>
  <c r="A31" i="98"/>
  <c r="D30" i="98"/>
  <c r="C30" i="98"/>
  <c r="B30" i="98"/>
  <c r="A30" i="98"/>
  <c r="D29" i="98"/>
  <c r="C29" i="98"/>
  <c r="B29" i="98"/>
  <c r="A29" i="98"/>
  <c r="D28" i="98"/>
  <c r="C28" i="98"/>
  <c r="B28" i="98"/>
  <c r="A28" i="98"/>
  <c r="D27" i="98"/>
  <c r="C27" i="98"/>
  <c r="B27" i="98"/>
  <c r="A27" i="98"/>
  <c r="D26" i="98"/>
  <c r="C26" i="98"/>
  <c r="B26" i="98"/>
  <c r="A26" i="98"/>
  <c r="D25" i="98"/>
  <c r="C25" i="98"/>
  <c r="B25" i="98"/>
  <c r="A25" i="98"/>
  <c r="D24" i="98"/>
  <c r="C24" i="98"/>
  <c r="B24" i="98"/>
  <c r="A24" i="98"/>
  <c r="D23" i="98"/>
  <c r="C23" i="98"/>
  <c r="B23" i="98"/>
  <c r="A23" i="98"/>
  <c r="D22" i="98"/>
  <c r="C22" i="98"/>
  <c r="B22" i="98"/>
  <c r="A22" i="98"/>
  <c r="D21" i="98"/>
  <c r="C21" i="98"/>
  <c r="B21" i="98"/>
  <c r="A21" i="98"/>
  <c r="D20" i="98"/>
  <c r="C20" i="98"/>
  <c r="B20" i="98"/>
  <c r="A20" i="98"/>
  <c r="D19" i="98"/>
  <c r="C19" i="98"/>
  <c r="B19" i="98"/>
  <c r="A19" i="98"/>
  <c r="D18" i="98"/>
  <c r="C18" i="98"/>
  <c r="B18" i="98"/>
  <c r="A18" i="98"/>
  <c r="D17" i="98"/>
  <c r="C17" i="98"/>
  <c r="B17" i="98"/>
  <c r="D16" i="98"/>
  <c r="C16" i="98"/>
  <c r="B16" i="98"/>
  <c r="A16" i="98"/>
  <c r="D15" i="98"/>
  <c r="C15" i="98"/>
  <c r="B15" i="98"/>
  <c r="D14" i="98"/>
  <c r="C14" i="98"/>
  <c r="B14" i="98"/>
  <c r="A14" i="98"/>
  <c r="D13" i="98"/>
  <c r="C13" i="98"/>
  <c r="B13" i="98"/>
  <c r="A13" i="98"/>
  <c r="D12" i="98"/>
  <c r="C12" i="98"/>
  <c r="B12" i="98"/>
  <c r="A12" i="98"/>
  <c r="D11" i="98"/>
  <c r="C11" i="98"/>
  <c r="B11" i="98"/>
  <c r="A11" i="98"/>
  <c r="D10" i="98"/>
  <c r="C10" i="98"/>
  <c r="B10" i="98"/>
  <c r="A10" i="98"/>
  <c r="D9" i="98"/>
  <c r="C9" i="98"/>
  <c r="B9" i="98"/>
  <c r="A9" i="98"/>
  <c r="D8" i="98"/>
  <c r="C8" i="98"/>
  <c r="B8" i="98"/>
  <c r="A8" i="98"/>
  <c r="D7" i="98"/>
  <c r="C7" i="98"/>
  <c r="B7" i="98"/>
  <c r="A7" i="98"/>
  <c r="D6" i="98"/>
  <c r="C6" i="98"/>
  <c r="B6" i="98"/>
  <c r="A6" i="98"/>
  <c r="AL50" i="6"/>
  <c r="F8" i="54"/>
  <c r="F9" i="54"/>
  <c r="F11" i="54"/>
  <c r="F12" i="54"/>
  <c r="F13" i="54"/>
  <c r="F15" i="54"/>
  <c r="F17" i="54"/>
  <c r="F18" i="54"/>
  <c r="F19" i="54"/>
  <c r="F20" i="54"/>
  <c r="F22" i="54"/>
  <c r="F23" i="54"/>
  <c r="F24" i="54"/>
  <c r="F25" i="54"/>
  <c r="F26" i="54"/>
  <c r="F27" i="54"/>
  <c r="F28" i="54"/>
  <c r="F29" i="54"/>
  <c r="F30" i="54"/>
  <c r="F31" i="54"/>
  <c r="F32" i="54"/>
  <c r="F5" i="54"/>
  <c r="F35" i="54"/>
  <c r="F36" i="54"/>
  <c r="F37" i="54"/>
  <c r="F38" i="54"/>
  <c r="F39" i="54"/>
  <c r="F44" i="54"/>
  <c r="F45" i="54"/>
  <c r="F46" i="54"/>
  <c r="F47" i="54"/>
  <c r="F48" i="54"/>
  <c r="F49" i="54"/>
  <c r="F50" i="54"/>
  <c r="F52" i="54"/>
  <c r="F53" i="54"/>
  <c r="F54" i="54"/>
  <c r="F56" i="54"/>
  <c r="F57" i="54"/>
  <c r="F58" i="54"/>
  <c r="F59" i="54"/>
  <c r="F60" i="54"/>
  <c r="F61" i="54"/>
  <c r="F62" i="54"/>
  <c r="F63" i="54"/>
  <c r="F64" i="54"/>
  <c r="F65" i="54"/>
  <c r="F66" i="54"/>
  <c r="F67" i="54"/>
  <c r="F68" i="54"/>
  <c r="F72" i="54"/>
  <c r="F73" i="54"/>
  <c r="F74" i="54"/>
  <c r="AG49" i="56" s="1"/>
  <c r="F75" i="54"/>
  <c r="F76" i="54"/>
  <c r="F77" i="54"/>
  <c r="F78" i="54"/>
  <c r="F79" i="54"/>
  <c r="F80" i="54"/>
  <c r="F81" i="54"/>
  <c r="F84" i="54"/>
  <c r="F85" i="54"/>
  <c r="F86" i="54"/>
  <c r="F87" i="54"/>
  <c r="F88" i="54"/>
  <c r="F89" i="54"/>
  <c r="F90" i="54"/>
  <c r="F91" i="54"/>
  <c r="Z40" i="24" s="1"/>
  <c r="F92" i="54"/>
  <c r="F93" i="54"/>
  <c r="F94" i="54"/>
  <c r="F95" i="54"/>
  <c r="Z43" i="24" s="1"/>
  <c r="F96" i="54"/>
  <c r="F97" i="54"/>
  <c r="F98" i="54"/>
  <c r="AG23" i="56" s="1"/>
  <c r="F82" i="54"/>
  <c r="Z22" i="24" s="1"/>
  <c r="F99" i="54"/>
  <c r="AG37" i="56" s="1"/>
  <c r="F100" i="54"/>
  <c r="F101" i="54"/>
  <c r="F102" i="54"/>
  <c r="F104" i="54"/>
  <c r="F105" i="54"/>
  <c r="F107" i="54"/>
  <c r="AG34" i="56" s="1"/>
  <c r="F108" i="54"/>
  <c r="F109" i="54"/>
  <c r="Z44" i="24" s="1"/>
  <c r="F110" i="54"/>
  <c r="F111" i="54"/>
  <c r="F112" i="54"/>
  <c r="D127" i="54"/>
  <c r="A127" i="54"/>
  <c r="B127" i="54"/>
  <c r="C127" i="54"/>
  <c r="D79" i="54"/>
  <c r="D80" i="54"/>
  <c r="A79" i="54"/>
  <c r="B79" i="54"/>
  <c r="A80" i="54"/>
  <c r="B80" i="54"/>
  <c r="B78" i="54"/>
  <c r="C79" i="54"/>
  <c r="C80" i="54"/>
  <c r="AO4" i="17"/>
  <c r="AP4" i="17"/>
  <c r="AQ4" i="17"/>
  <c r="AR4" i="17"/>
  <c r="AS4" i="17"/>
  <c r="AT4" i="17"/>
  <c r="AU4" i="17"/>
  <c r="AV4" i="17"/>
  <c r="AW4" i="17"/>
  <c r="BW44" i="17" s="1"/>
  <c r="AX4" i="17"/>
  <c r="AY4" i="17"/>
  <c r="AZ4" i="17"/>
  <c r="BA4" i="17"/>
  <c r="BB4" i="17"/>
  <c r="BC4" i="17"/>
  <c r="BD4" i="17"/>
  <c r="BW52" i="17" s="1"/>
  <c r="BE4" i="17"/>
  <c r="BF4" i="17"/>
  <c r="BG4" i="17"/>
  <c r="BH4" i="17"/>
  <c r="BI4" i="17"/>
  <c r="BJ4" i="17"/>
  <c r="BK4" i="17"/>
  <c r="BL4" i="17"/>
  <c r="BM4" i="17"/>
  <c r="BN4" i="17"/>
  <c r="BO4" i="17"/>
  <c r="BP4" i="17"/>
  <c r="BQ4" i="17"/>
  <c r="BU34" i="17" s="1"/>
  <c r="BR4" i="17"/>
  <c r="AN4" i="17"/>
  <c r="C6" i="17"/>
  <c r="C7" i="17"/>
  <c r="C8" i="17"/>
  <c r="C9" i="17"/>
  <c r="D6" i="17"/>
  <c r="D7" i="17"/>
  <c r="D8" i="17"/>
  <c r="D9" i="17"/>
  <c r="C10" i="17"/>
  <c r="D10" i="17"/>
  <c r="C11" i="17"/>
  <c r="D11" i="17"/>
  <c r="C12" i="17"/>
  <c r="D12" i="17"/>
  <c r="C13" i="17"/>
  <c r="D13" i="17"/>
  <c r="D14" i="17"/>
  <c r="D15" i="17"/>
  <c r="C18" i="17"/>
  <c r="C19" i="17"/>
  <c r="D19" i="17"/>
  <c r="C20" i="17"/>
  <c r="D20" i="17"/>
  <c r="C21" i="17"/>
  <c r="D21" i="17"/>
  <c r="C22" i="17"/>
  <c r="D22" i="17"/>
  <c r="C23" i="17"/>
  <c r="D23" i="17"/>
  <c r="C24" i="17"/>
  <c r="D24" i="17"/>
  <c r="C25" i="17"/>
  <c r="D25" i="17"/>
  <c r="C26" i="17"/>
  <c r="D26" i="17"/>
  <c r="C27" i="17"/>
  <c r="D27" i="17"/>
  <c r="C28" i="17"/>
  <c r="D28" i="17"/>
  <c r="C29" i="17"/>
  <c r="D29" i="17"/>
  <c r="C30" i="17"/>
  <c r="D30" i="17"/>
  <c r="C31" i="17"/>
  <c r="D31" i="17"/>
  <c r="C32" i="17"/>
  <c r="D32" i="17"/>
  <c r="C33" i="17"/>
  <c r="D33" i="17"/>
  <c r="C17" i="17"/>
  <c r="D17" i="17"/>
  <c r="C34" i="17"/>
  <c r="D34" i="17"/>
  <c r="C35" i="17"/>
  <c r="D35" i="17"/>
  <c r="C36" i="17"/>
  <c r="D36" i="17"/>
  <c r="C37" i="17"/>
  <c r="D37" i="17"/>
  <c r="C40" i="17"/>
  <c r="D40" i="17"/>
  <c r="C41" i="17"/>
  <c r="D41" i="17"/>
  <c r="C16" i="17"/>
  <c r="D16" i="17"/>
  <c r="C42" i="17"/>
  <c r="D42" i="17"/>
  <c r="C43" i="17"/>
  <c r="D43" i="17"/>
  <c r="D44" i="17"/>
  <c r="D48" i="17"/>
  <c r="C49" i="17"/>
  <c r="D49" i="17"/>
  <c r="C50" i="17"/>
  <c r="D50" i="17"/>
  <c r="C51" i="17"/>
  <c r="D51" i="17"/>
  <c r="AL22" i="70"/>
  <c r="AL32" i="70"/>
  <c r="AL39" i="70"/>
  <c r="E1133" i="53"/>
  <c r="AC6" i="70"/>
  <c r="AC7" i="70"/>
  <c r="AC9" i="70"/>
  <c r="AC10" i="70"/>
  <c r="B144" i="53" s="1"/>
  <c r="AC11" i="70"/>
  <c r="B173" i="53" s="1"/>
  <c r="AC12" i="70"/>
  <c r="AC13" i="70"/>
  <c r="AC14" i="70"/>
  <c r="B2671" i="53" s="1"/>
  <c r="AC15" i="70"/>
  <c r="B1072" i="53" s="1"/>
  <c r="BV50" i="6"/>
  <c r="AM50" i="6"/>
  <c r="AN50" i="6"/>
  <c r="AO50" i="6"/>
  <c r="BE50" i="6"/>
  <c r="BF50" i="6"/>
  <c r="BG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W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C30" i="70"/>
  <c r="AC31" i="70"/>
  <c r="B1486" i="53" s="1"/>
  <c r="AL6" i="70"/>
  <c r="AC51" i="70"/>
  <c r="L51" i="70"/>
  <c r="F51" i="70"/>
  <c r="G51" i="70" s="1"/>
  <c r="B1169" i="53" s="1"/>
  <c r="AL8" i="25"/>
  <c r="AO8" i="25"/>
  <c r="AL9" i="25"/>
  <c r="AO9" i="25"/>
  <c r="AL10" i="25"/>
  <c r="AO10" i="25"/>
  <c r="AL11" i="25"/>
  <c r="AO11" i="25"/>
  <c r="AL12" i="25"/>
  <c r="AO12" i="25"/>
  <c r="AL13" i="25"/>
  <c r="AO13" i="25"/>
  <c r="AL14" i="25"/>
  <c r="AO14" i="25"/>
  <c r="AL15" i="25"/>
  <c r="AO15" i="25"/>
  <c r="AL16" i="25"/>
  <c r="AO16" i="25"/>
  <c r="AL18" i="25"/>
  <c r="AO18" i="25"/>
  <c r="AL19" i="25"/>
  <c r="AO19" i="25"/>
  <c r="AL20" i="25"/>
  <c r="AO20" i="25"/>
  <c r="AL21" i="25"/>
  <c r="AO21" i="25"/>
  <c r="AL22" i="25"/>
  <c r="AO22" i="25"/>
  <c r="AL23" i="25"/>
  <c r="AO23" i="25"/>
  <c r="AL24" i="25"/>
  <c r="AO24" i="25"/>
  <c r="AL25" i="25"/>
  <c r="AO25" i="25"/>
  <c r="AL26" i="25"/>
  <c r="AO26" i="25"/>
  <c r="AL27" i="25"/>
  <c r="AO27" i="25"/>
  <c r="AL28" i="25"/>
  <c r="AO28" i="25"/>
  <c r="AL29" i="25"/>
  <c r="AO29" i="25"/>
  <c r="AL30" i="25"/>
  <c r="AO30" i="25"/>
  <c r="AL31" i="25"/>
  <c r="AO31" i="25"/>
  <c r="AL32" i="25"/>
  <c r="AO32" i="25"/>
  <c r="AL33" i="25"/>
  <c r="AO33" i="25"/>
  <c r="AL34" i="25"/>
  <c r="AO34" i="25"/>
  <c r="AL35" i="25"/>
  <c r="AO35" i="25"/>
  <c r="AL36" i="25"/>
  <c r="AO36" i="25"/>
  <c r="AL37" i="25"/>
  <c r="AO37" i="25"/>
  <c r="AL39" i="25"/>
  <c r="AO39" i="25"/>
  <c r="AL40" i="25"/>
  <c r="AO40" i="25"/>
  <c r="AL41" i="25"/>
  <c r="AO41" i="25"/>
  <c r="AL42" i="25"/>
  <c r="AO42" i="25"/>
  <c r="AL43" i="25"/>
  <c r="AO43" i="25"/>
  <c r="AL44" i="25"/>
  <c r="AO44" i="25"/>
  <c r="AL49" i="25"/>
  <c r="AO49" i="25"/>
  <c r="AL50" i="25"/>
  <c r="AO50" i="25"/>
  <c r="AL51" i="25"/>
  <c r="AO51" i="25"/>
  <c r="AL52" i="25"/>
  <c r="AO52" i="25"/>
  <c r="AL7" i="25"/>
  <c r="AO7" i="25"/>
  <c r="F14" i="70"/>
  <c r="G14" i="70" s="1"/>
  <c r="L14" i="70"/>
  <c r="AL14" i="17"/>
  <c r="F15" i="70"/>
  <c r="G15" i="70" s="1"/>
  <c r="B2712" i="53" s="1"/>
  <c r="L15" i="70"/>
  <c r="AM15" i="17"/>
  <c r="C6" i="6"/>
  <c r="C53" i="6" s="1"/>
  <c r="C7" i="6"/>
  <c r="C54" i="6"/>
  <c r="C8" i="6"/>
  <c r="C55" i="6" s="1"/>
  <c r="C9" i="6"/>
  <c r="C56" i="6" s="1"/>
  <c r="D6" i="6"/>
  <c r="D53" i="6" s="1"/>
  <c r="D7" i="6"/>
  <c r="D54" i="6" s="1"/>
  <c r="D8" i="6"/>
  <c r="D55" i="6" s="1"/>
  <c r="D9" i="6"/>
  <c r="D56" i="6" s="1"/>
  <c r="C10" i="6"/>
  <c r="C57" i="6" s="1"/>
  <c r="D10" i="6"/>
  <c r="D57" i="6" s="1"/>
  <c r="C11" i="6"/>
  <c r="C58" i="6" s="1"/>
  <c r="D11" i="6"/>
  <c r="D58" i="6" s="1"/>
  <c r="C12" i="6"/>
  <c r="C59" i="6" s="1"/>
  <c r="D12" i="6"/>
  <c r="D59" i="6" s="1"/>
  <c r="C13" i="6"/>
  <c r="C60" i="6" s="1"/>
  <c r="D13" i="6"/>
  <c r="D60" i="6" s="1"/>
  <c r="C14" i="6"/>
  <c r="C61" i="6" s="1"/>
  <c r="D14" i="6"/>
  <c r="D61" i="6" s="1"/>
  <c r="C15" i="6"/>
  <c r="C62" i="6" s="1"/>
  <c r="D15" i="6"/>
  <c r="D62" i="6" s="1"/>
  <c r="C17" i="6"/>
  <c r="C64" i="6" s="1"/>
  <c r="D17" i="6"/>
  <c r="D64" i="6" s="1"/>
  <c r="C18" i="6"/>
  <c r="C65" i="6" s="1"/>
  <c r="D18" i="6"/>
  <c r="D65" i="6" s="1"/>
  <c r="C19" i="6"/>
  <c r="C66" i="6" s="1"/>
  <c r="D19" i="6"/>
  <c r="D66" i="6" s="1"/>
  <c r="C20" i="6"/>
  <c r="C67" i="6" s="1"/>
  <c r="D20" i="6"/>
  <c r="D67" i="6" s="1"/>
  <c r="C21" i="6"/>
  <c r="C68" i="6" s="1"/>
  <c r="D21" i="6"/>
  <c r="D68" i="6" s="1"/>
  <c r="C22" i="6"/>
  <c r="C69" i="6" s="1"/>
  <c r="D22" i="6"/>
  <c r="D69" i="6" s="1"/>
  <c r="C23" i="6"/>
  <c r="C70" i="6" s="1"/>
  <c r="D23" i="6"/>
  <c r="D70" i="6" s="1"/>
  <c r="C24" i="6"/>
  <c r="C71" i="6" s="1"/>
  <c r="D24" i="6"/>
  <c r="D71" i="6" s="1"/>
  <c r="C25" i="6"/>
  <c r="C72" i="6" s="1"/>
  <c r="D25" i="6"/>
  <c r="D72" i="6"/>
  <c r="C26" i="6"/>
  <c r="C73" i="6" s="1"/>
  <c r="D26" i="6"/>
  <c r="D73" i="6" s="1"/>
  <c r="C27" i="6"/>
  <c r="C74" i="6" s="1"/>
  <c r="D27" i="6"/>
  <c r="D74" i="6" s="1"/>
  <c r="C28" i="6"/>
  <c r="C75" i="6" s="1"/>
  <c r="D28" i="6"/>
  <c r="D75" i="6" s="1"/>
  <c r="C29" i="6"/>
  <c r="C76" i="6" s="1"/>
  <c r="D29" i="6"/>
  <c r="D76" i="6" s="1"/>
  <c r="C30" i="6"/>
  <c r="C77" i="6" s="1"/>
  <c r="D30" i="6"/>
  <c r="D77" i="6" s="1"/>
  <c r="C31" i="6"/>
  <c r="C78" i="6" s="1"/>
  <c r="D31" i="6"/>
  <c r="D78" i="6" s="1"/>
  <c r="C32" i="6"/>
  <c r="C79" i="6" s="1"/>
  <c r="D32" i="6"/>
  <c r="D79" i="6" s="1"/>
  <c r="C33" i="6"/>
  <c r="C80" i="6" s="1"/>
  <c r="D33" i="6"/>
  <c r="D80" i="6"/>
  <c r="C34" i="6"/>
  <c r="C81" i="6" s="1"/>
  <c r="D34" i="6"/>
  <c r="D81" i="6" s="1"/>
  <c r="C35" i="6"/>
  <c r="C82" i="6" s="1"/>
  <c r="D35" i="6"/>
  <c r="D82" i="6" s="1"/>
  <c r="C36" i="6"/>
  <c r="C83" i="6" s="1"/>
  <c r="D36" i="6"/>
  <c r="D83" i="6" s="1"/>
  <c r="C37" i="6"/>
  <c r="C84" i="6" s="1"/>
  <c r="D37" i="6"/>
  <c r="D84" i="6" s="1"/>
  <c r="C38" i="6"/>
  <c r="C85" i="6" s="1"/>
  <c r="D38" i="6"/>
  <c r="D85" i="6" s="1"/>
  <c r="BX38" i="17"/>
  <c r="BY38" i="17"/>
  <c r="AZ20" i="102"/>
  <c r="BC1" i="102"/>
  <c r="BB111" i="102" s="1"/>
  <c r="AZ93" i="102"/>
  <c r="AZ96" i="102"/>
  <c r="AZ62" i="102"/>
  <c r="AW4" i="102"/>
  <c r="AY4" i="102" s="1"/>
  <c r="AX4" i="102"/>
  <c r="AK14" i="17"/>
  <c r="AJ14" i="17" s="1"/>
  <c r="AM14" i="17"/>
  <c r="AK15" i="17"/>
  <c r="AL15" i="17"/>
  <c r="A8" i="97"/>
  <c r="D48" i="97"/>
  <c r="C48" i="97"/>
  <c r="B48" i="97"/>
  <c r="D47" i="97"/>
  <c r="C47" i="97"/>
  <c r="B47" i="97"/>
  <c r="D46" i="97"/>
  <c r="C46" i="97"/>
  <c r="B46" i="97"/>
  <c r="D45" i="97"/>
  <c r="C45" i="97"/>
  <c r="B45" i="97"/>
  <c r="D43" i="97"/>
  <c r="B43" i="97"/>
  <c r="D41" i="97"/>
  <c r="C41" i="97"/>
  <c r="B41" i="97"/>
  <c r="D40" i="97"/>
  <c r="C40" i="97"/>
  <c r="B40" i="97"/>
  <c r="D16" i="97"/>
  <c r="C16" i="97"/>
  <c r="B16" i="97"/>
  <c r="D39" i="97"/>
  <c r="C39" i="97"/>
  <c r="B39" i="97"/>
  <c r="D38" i="97"/>
  <c r="C38" i="97"/>
  <c r="B38" i="97"/>
  <c r="D37" i="97"/>
  <c r="C37" i="97"/>
  <c r="B37" i="97"/>
  <c r="D36" i="97"/>
  <c r="C36" i="97"/>
  <c r="B36" i="97"/>
  <c r="D35" i="97"/>
  <c r="C35" i="97"/>
  <c r="B35" i="97"/>
  <c r="D34" i="97"/>
  <c r="C34" i="97"/>
  <c r="B34" i="97"/>
  <c r="D33" i="97"/>
  <c r="C33" i="97"/>
  <c r="B33" i="97"/>
  <c r="D32" i="97"/>
  <c r="C32" i="97"/>
  <c r="B32" i="97"/>
  <c r="D31" i="97"/>
  <c r="C31" i="97"/>
  <c r="B31" i="97"/>
  <c r="D30" i="97"/>
  <c r="C30" i="97"/>
  <c r="B30" i="97"/>
  <c r="D29" i="97"/>
  <c r="C29" i="97"/>
  <c r="B29" i="97"/>
  <c r="D28" i="97"/>
  <c r="C28" i="97"/>
  <c r="B28" i="97"/>
  <c r="D27" i="97"/>
  <c r="C27" i="97"/>
  <c r="B27" i="97"/>
  <c r="D26" i="97"/>
  <c r="C26" i="97"/>
  <c r="B26" i="97"/>
  <c r="D25" i="97"/>
  <c r="C25" i="97"/>
  <c r="B25" i="97"/>
  <c r="D24" i="97"/>
  <c r="C24" i="97"/>
  <c r="B24" i="97"/>
  <c r="D23" i="97"/>
  <c r="C23" i="97"/>
  <c r="B23" i="97"/>
  <c r="D22" i="97"/>
  <c r="C22" i="97"/>
  <c r="B22" i="97"/>
  <c r="D21" i="97"/>
  <c r="C21" i="97"/>
  <c r="B21" i="97"/>
  <c r="D20" i="97"/>
  <c r="C20" i="97"/>
  <c r="B20" i="97"/>
  <c r="D19" i="97"/>
  <c r="C19" i="97"/>
  <c r="B19" i="97"/>
  <c r="D18" i="97"/>
  <c r="C18" i="97"/>
  <c r="B18" i="97"/>
  <c r="D17" i="97"/>
  <c r="C17" i="97"/>
  <c r="B17" i="97"/>
  <c r="D15" i="97"/>
  <c r="C15" i="97"/>
  <c r="B15" i="97"/>
  <c r="D14" i="97"/>
  <c r="C14" i="97"/>
  <c r="B14" i="97"/>
  <c r="D13" i="97"/>
  <c r="C13" i="97"/>
  <c r="B13" i="97"/>
  <c r="D12" i="97"/>
  <c r="C12" i="97"/>
  <c r="B12" i="97"/>
  <c r="D11" i="97"/>
  <c r="C11" i="97"/>
  <c r="B11" i="97"/>
  <c r="D10" i="97"/>
  <c r="C10" i="97"/>
  <c r="B10" i="97"/>
  <c r="D9" i="97"/>
  <c r="C9" i="97"/>
  <c r="B9" i="97"/>
  <c r="D8" i="97"/>
  <c r="C8" i="97"/>
  <c r="B8" i="97"/>
  <c r="D7" i="97"/>
  <c r="C7" i="97"/>
  <c r="B7" i="97"/>
  <c r="D6" i="97"/>
  <c r="C6" i="97"/>
  <c r="B6" i="97"/>
  <c r="A8" i="96"/>
  <c r="A9" i="96"/>
  <c r="A10" i="96"/>
  <c r="A11" i="96"/>
  <c r="A12" i="96"/>
  <c r="A13" i="96"/>
  <c r="A19" i="96"/>
  <c r="A20" i="96"/>
  <c r="A21" i="96"/>
  <c r="A22" i="96"/>
  <c r="A23" i="96"/>
  <c r="A24" i="96"/>
  <c r="A25" i="96"/>
  <c r="A26" i="96"/>
  <c r="A27" i="96"/>
  <c r="A28" i="96"/>
  <c r="A29" i="96"/>
  <c r="A30" i="96"/>
  <c r="A31" i="96"/>
  <c r="A32" i="96"/>
  <c r="A33" i="96"/>
  <c r="A34" i="96"/>
  <c r="A35" i="96"/>
  <c r="A36" i="96"/>
  <c r="A37" i="96"/>
  <c r="A38" i="96"/>
  <c r="A39" i="96"/>
  <c r="A40" i="96"/>
  <c r="A41" i="96"/>
  <c r="A48" i="97"/>
  <c r="A47" i="97"/>
  <c r="A46" i="97"/>
  <c r="A43" i="97"/>
  <c r="A41" i="97"/>
  <c r="A40" i="97"/>
  <c r="A16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4" i="97"/>
  <c r="A13" i="97"/>
  <c r="A12" i="97"/>
  <c r="A11" i="97"/>
  <c r="A10" i="97"/>
  <c r="A9" i="97"/>
  <c r="A7" i="97"/>
  <c r="A6" i="97"/>
  <c r="D48" i="6"/>
  <c r="D95" i="6" s="1"/>
  <c r="C48" i="6"/>
  <c r="C95" i="6" s="1"/>
  <c r="B48" i="6"/>
  <c r="B95" i="6" s="1"/>
  <c r="B14" i="6"/>
  <c r="B61" i="6" s="1"/>
  <c r="B15" i="6"/>
  <c r="B62" i="6" s="1"/>
  <c r="D14" i="96"/>
  <c r="D15" i="96"/>
  <c r="C14" i="96"/>
  <c r="C15" i="96"/>
  <c r="B14" i="96"/>
  <c r="B15" i="96"/>
  <c r="AK51" i="17"/>
  <c r="AL51" i="17"/>
  <c r="AM51" i="17"/>
  <c r="A14" i="17"/>
  <c r="B14" i="17"/>
  <c r="A15" i="17"/>
  <c r="B15" i="17"/>
  <c r="AL41" i="17"/>
  <c r="O41" i="70" s="1"/>
  <c r="AL33" i="17"/>
  <c r="B5" i="53"/>
  <c r="B4" i="53"/>
  <c r="E29" i="53" s="1"/>
  <c r="AZ78" i="102"/>
  <c r="AS2" i="17"/>
  <c r="AT2" i="17"/>
  <c r="AM16" i="17"/>
  <c r="B122" i="53"/>
  <c r="E147" i="53" s="1"/>
  <c r="B1250" i="53"/>
  <c r="B1241" i="53"/>
  <c r="B1231" i="53"/>
  <c r="B1230" i="53"/>
  <c r="B1229" i="53"/>
  <c r="B1227" i="53"/>
  <c r="B1226" i="53"/>
  <c r="B1225" i="53"/>
  <c r="E1250" i="53" s="1"/>
  <c r="B1221" i="53"/>
  <c r="B1212" i="53"/>
  <c r="B1202" i="53"/>
  <c r="B1201" i="53"/>
  <c r="B1200" i="53"/>
  <c r="B1198" i="53"/>
  <c r="B1197" i="53"/>
  <c r="B1196" i="53"/>
  <c r="E1221" i="53" s="1"/>
  <c r="B1191" i="53"/>
  <c r="B1185" i="53"/>
  <c r="B1172" i="53"/>
  <c r="B1171" i="53"/>
  <c r="B1170" i="53"/>
  <c r="B1168" i="53"/>
  <c r="B1167" i="53"/>
  <c r="B1166" i="53"/>
  <c r="E1191" i="53" s="1"/>
  <c r="B1162" i="53"/>
  <c r="B1156" i="53"/>
  <c r="B1143" i="53"/>
  <c r="B1142" i="53"/>
  <c r="B1141" i="53"/>
  <c r="B1139" i="53"/>
  <c r="B1138" i="53"/>
  <c r="B1137" i="53"/>
  <c r="E1162" i="53" s="1"/>
  <c r="B1133" i="53"/>
  <c r="B1127" i="53"/>
  <c r="B1114" i="53"/>
  <c r="B1113" i="53"/>
  <c r="B1112" i="53"/>
  <c r="B1110" i="53"/>
  <c r="B1104" i="53"/>
  <c r="B1098" i="53"/>
  <c r="B1085" i="53"/>
  <c r="B1084" i="53"/>
  <c r="B1083" i="53"/>
  <c r="B1081" i="53"/>
  <c r="B1080" i="53"/>
  <c r="B1079" i="53"/>
  <c r="E1104" i="53" s="1"/>
  <c r="B1075" i="53"/>
  <c r="B1069" i="53"/>
  <c r="B1056" i="53"/>
  <c r="B1055" i="53"/>
  <c r="B1054" i="53"/>
  <c r="B1052" i="53"/>
  <c r="B1051" i="53"/>
  <c r="B1050" i="53"/>
  <c r="E1075" i="53" s="1"/>
  <c r="B1046" i="53"/>
  <c r="B1040" i="53"/>
  <c r="B1027" i="53"/>
  <c r="B1026" i="53"/>
  <c r="B1025" i="53"/>
  <c r="B1023" i="53"/>
  <c r="B1022" i="53"/>
  <c r="B1021" i="53"/>
  <c r="E1046" i="53" s="1"/>
  <c r="B1017" i="53"/>
  <c r="B1011" i="53"/>
  <c r="B998" i="53"/>
  <c r="B997" i="53"/>
  <c r="B996" i="53"/>
  <c r="B994" i="53"/>
  <c r="B993" i="53"/>
  <c r="B992" i="53"/>
  <c r="E1017" i="53" s="1"/>
  <c r="B988" i="53"/>
  <c r="B982" i="53"/>
  <c r="B969" i="53"/>
  <c r="B968" i="53"/>
  <c r="B967" i="53"/>
  <c r="B965" i="53"/>
  <c r="B964" i="53"/>
  <c r="B963" i="53"/>
  <c r="E988" i="53" s="1"/>
  <c r="B959" i="53"/>
  <c r="B953" i="53"/>
  <c r="B940" i="53"/>
  <c r="B939" i="53"/>
  <c r="B938" i="53"/>
  <c r="B936" i="53"/>
  <c r="B935" i="53"/>
  <c r="B934" i="53"/>
  <c r="E959" i="53" s="1"/>
  <c r="B930" i="53"/>
  <c r="B924" i="53"/>
  <c r="B911" i="53"/>
  <c r="B910" i="53"/>
  <c r="B909" i="53"/>
  <c r="B907" i="53"/>
  <c r="B906" i="53"/>
  <c r="B905" i="53"/>
  <c r="E930" i="53" s="1"/>
  <c r="B901" i="53"/>
  <c r="B895" i="53"/>
  <c r="B882" i="53"/>
  <c r="B881" i="53"/>
  <c r="B880" i="53"/>
  <c r="B878" i="53"/>
  <c r="B877" i="53"/>
  <c r="B876" i="53"/>
  <c r="E901" i="53" s="1"/>
  <c r="B872" i="53"/>
  <c r="B866" i="53"/>
  <c r="B853" i="53"/>
  <c r="B852" i="53"/>
  <c r="B851" i="53"/>
  <c r="B849" i="53"/>
  <c r="B848" i="53"/>
  <c r="B847" i="53"/>
  <c r="E872" i="53" s="1"/>
  <c r="B843" i="53"/>
  <c r="B837" i="53"/>
  <c r="B824" i="53"/>
  <c r="B823" i="53"/>
  <c r="B822" i="53"/>
  <c r="B820" i="53"/>
  <c r="B819" i="53"/>
  <c r="B818" i="53"/>
  <c r="E843" i="53" s="1"/>
  <c r="B814" i="53"/>
  <c r="B808" i="53"/>
  <c r="B795" i="53"/>
  <c r="B794" i="53"/>
  <c r="B793" i="53"/>
  <c r="B791" i="53"/>
  <c r="B790" i="53"/>
  <c r="B789" i="53"/>
  <c r="E814" i="53" s="1"/>
  <c r="B785" i="53"/>
  <c r="B779" i="53"/>
  <c r="B766" i="53"/>
  <c r="B765" i="53"/>
  <c r="B764" i="53"/>
  <c r="B762" i="53"/>
  <c r="B761" i="53"/>
  <c r="B760" i="53"/>
  <c r="E785" i="53" s="1"/>
  <c r="B756" i="53"/>
  <c r="B750" i="53"/>
  <c r="B737" i="53"/>
  <c r="B736" i="53"/>
  <c r="B735" i="53"/>
  <c r="B733" i="53"/>
  <c r="B732" i="53"/>
  <c r="B731" i="53"/>
  <c r="E756" i="53" s="1"/>
  <c r="B727" i="53"/>
  <c r="B721" i="53"/>
  <c r="B708" i="53"/>
  <c r="B707" i="53"/>
  <c r="B706" i="53"/>
  <c r="B704" i="53"/>
  <c r="B703" i="53"/>
  <c r="B702" i="53"/>
  <c r="E727" i="53" s="1"/>
  <c r="B698" i="53"/>
  <c r="B692" i="53"/>
  <c r="B679" i="53"/>
  <c r="B678" i="53"/>
  <c r="B677" i="53"/>
  <c r="B675" i="53"/>
  <c r="B674" i="53"/>
  <c r="B673" i="53"/>
  <c r="E698" i="53" s="1"/>
  <c r="B669" i="53"/>
  <c r="B663" i="53"/>
  <c r="B650" i="53"/>
  <c r="B649" i="53"/>
  <c r="B648" i="53"/>
  <c r="B646" i="53"/>
  <c r="B645" i="53"/>
  <c r="B644" i="53"/>
  <c r="E669" i="53" s="1"/>
  <c r="B640" i="53"/>
  <c r="B634" i="53"/>
  <c r="B621" i="53"/>
  <c r="B620" i="53"/>
  <c r="B619" i="53"/>
  <c r="B617" i="53"/>
  <c r="B616" i="53"/>
  <c r="B615" i="53"/>
  <c r="E640" i="53" s="1"/>
  <c r="B611" i="53"/>
  <c r="B605" i="53"/>
  <c r="B592" i="53"/>
  <c r="B591" i="53"/>
  <c r="B590" i="53"/>
  <c r="B588" i="53"/>
  <c r="B587" i="53"/>
  <c r="B586" i="53"/>
  <c r="E611" i="53" s="1"/>
  <c r="B582" i="53"/>
  <c r="B576" i="53"/>
  <c r="B563" i="53"/>
  <c r="B562" i="53"/>
  <c r="B561" i="53"/>
  <c r="B559" i="53"/>
  <c r="B558" i="53"/>
  <c r="B557" i="53"/>
  <c r="E582" i="53" s="1"/>
  <c r="B553" i="53"/>
  <c r="B547" i="53"/>
  <c r="B534" i="53"/>
  <c r="B533" i="53"/>
  <c r="B532" i="53"/>
  <c r="B530" i="53"/>
  <c r="B529" i="53"/>
  <c r="B528" i="53"/>
  <c r="E553" i="53" s="1"/>
  <c r="B524" i="53"/>
  <c r="B518" i="53"/>
  <c r="B505" i="53"/>
  <c r="B504" i="53"/>
  <c r="B503" i="53"/>
  <c r="B501" i="53"/>
  <c r="B500" i="53"/>
  <c r="B499" i="53"/>
  <c r="E524" i="53" s="1"/>
  <c r="B495" i="53"/>
  <c r="B489" i="53"/>
  <c r="B476" i="53"/>
  <c r="B475" i="53"/>
  <c r="B474" i="53"/>
  <c r="B472" i="53"/>
  <c r="B471" i="53"/>
  <c r="B470" i="53"/>
  <c r="E495" i="53" s="1"/>
  <c r="B466" i="53"/>
  <c r="B460" i="53"/>
  <c r="B447" i="53"/>
  <c r="B446" i="53"/>
  <c r="B445" i="53"/>
  <c r="B443" i="53"/>
  <c r="B442" i="53"/>
  <c r="B441" i="53"/>
  <c r="E466" i="53" s="1"/>
  <c r="B437" i="53"/>
  <c r="B431" i="53"/>
  <c r="B418" i="53"/>
  <c r="B417" i="53"/>
  <c r="B416" i="53"/>
  <c r="B414" i="53"/>
  <c r="B413" i="53"/>
  <c r="B412" i="53"/>
  <c r="E437" i="53" s="1"/>
  <c r="B408" i="53"/>
  <c r="B402" i="53"/>
  <c r="B389" i="53"/>
  <c r="B388" i="53"/>
  <c r="B387" i="53"/>
  <c r="B385" i="53"/>
  <c r="B384" i="53"/>
  <c r="B383" i="53"/>
  <c r="E408" i="53" s="1"/>
  <c r="B379" i="53"/>
  <c r="B373" i="53"/>
  <c r="B360" i="53"/>
  <c r="B359" i="53"/>
  <c r="B358" i="53"/>
  <c r="B356" i="53"/>
  <c r="B355" i="53"/>
  <c r="B354" i="53"/>
  <c r="E379" i="53" s="1"/>
  <c r="B350" i="53"/>
  <c r="B344" i="53"/>
  <c r="B331" i="53"/>
  <c r="B330" i="53"/>
  <c r="B329" i="53"/>
  <c r="B327" i="53"/>
  <c r="B326" i="53"/>
  <c r="B325" i="53"/>
  <c r="E350" i="53" s="1"/>
  <c r="B321" i="53"/>
  <c r="B315" i="53"/>
  <c r="B302" i="53"/>
  <c r="B301" i="53"/>
  <c r="B300" i="53"/>
  <c r="B298" i="53"/>
  <c r="B297" i="53"/>
  <c r="B296" i="53"/>
  <c r="E321" i="53" s="1"/>
  <c r="B292" i="53"/>
  <c r="B286" i="53"/>
  <c r="B273" i="53"/>
  <c r="B272" i="53"/>
  <c r="B271" i="53"/>
  <c r="B269" i="53"/>
  <c r="B268" i="53"/>
  <c r="B267" i="53"/>
  <c r="E292" i="53" s="1"/>
  <c r="B263" i="53"/>
  <c r="B257" i="53"/>
  <c r="B244" i="53"/>
  <c r="B243" i="53"/>
  <c r="B242" i="53"/>
  <c r="B240" i="53"/>
  <c r="B239" i="53"/>
  <c r="B238" i="53"/>
  <c r="E263" i="53" s="1"/>
  <c r="B234" i="53"/>
  <c r="B228" i="53"/>
  <c r="B215" i="53"/>
  <c r="B214" i="53"/>
  <c r="B213" i="53"/>
  <c r="B211" i="53"/>
  <c r="B210" i="53"/>
  <c r="B209" i="53"/>
  <c r="E234" i="53" s="1"/>
  <c r="B205" i="53"/>
  <c r="B199" i="53"/>
  <c r="B186" i="53"/>
  <c r="B185" i="53"/>
  <c r="B184" i="53"/>
  <c r="B182" i="53"/>
  <c r="B181" i="53"/>
  <c r="B180" i="53"/>
  <c r="E205" i="53" s="1"/>
  <c r="B176" i="53"/>
  <c r="B170" i="53"/>
  <c r="B157" i="53"/>
  <c r="B156" i="53"/>
  <c r="B155" i="53"/>
  <c r="B153" i="53"/>
  <c r="B152" i="53"/>
  <c r="B151" i="53"/>
  <c r="E176" i="53" s="1"/>
  <c r="B147" i="53"/>
  <c r="B141" i="53"/>
  <c r="B128" i="53"/>
  <c r="B127" i="53"/>
  <c r="B126" i="53"/>
  <c r="B124" i="53"/>
  <c r="B123" i="53"/>
  <c r="B117" i="53"/>
  <c r="B111" i="53"/>
  <c r="B98" i="53"/>
  <c r="B97" i="53"/>
  <c r="B96" i="53"/>
  <c r="B94" i="53"/>
  <c r="E117" i="53"/>
  <c r="B87" i="53"/>
  <c r="B81" i="53"/>
  <c r="B68" i="53"/>
  <c r="B67" i="53"/>
  <c r="B66" i="53"/>
  <c r="B64" i="53"/>
  <c r="B63" i="53"/>
  <c r="B62" i="53"/>
  <c r="E87" i="53" s="1"/>
  <c r="B58" i="53"/>
  <c r="B52" i="53"/>
  <c r="B39" i="53"/>
  <c r="B38" i="53"/>
  <c r="B37" i="53"/>
  <c r="B35" i="53"/>
  <c r="B34" i="53"/>
  <c r="B33" i="53"/>
  <c r="E58" i="53" s="1"/>
  <c r="AL16" i="17"/>
  <c r="AM6" i="17"/>
  <c r="AC39" i="70"/>
  <c r="BX47" i="17"/>
  <c r="BY47" i="17" s="1"/>
  <c r="AC41" i="70"/>
  <c r="B898" i="53" s="1"/>
  <c r="AZ15" i="102"/>
  <c r="AZ17" i="102"/>
  <c r="AZ16" i="102"/>
  <c r="AZ92" i="102"/>
  <c r="AZ35" i="102"/>
  <c r="AZ66" i="102"/>
  <c r="AZ68" i="102"/>
  <c r="AZ41" i="102"/>
  <c r="AZ33" i="102"/>
  <c r="AX28" i="102"/>
  <c r="AZ28" i="102"/>
  <c r="AZ95" i="102"/>
  <c r="AZ37" i="102"/>
  <c r="AZ38" i="102"/>
  <c r="AZ23" i="102"/>
  <c r="AZ55" i="102"/>
  <c r="AZ46" i="102"/>
  <c r="AZ51" i="102"/>
  <c r="AZ77" i="102"/>
  <c r="AZ71" i="102"/>
  <c r="AZ54" i="102"/>
  <c r="AZ81" i="102"/>
  <c r="AZ39" i="102"/>
  <c r="AZ94" i="102"/>
  <c r="AZ27" i="102"/>
  <c r="AZ58" i="102"/>
  <c r="AK28" i="17"/>
  <c r="AJ28" i="17" s="1"/>
  <c r="AL17" i="17"/>
  <c r="B44" i="17"/>
  <c r="A109" i="54"/>
  <c r="A81" i="54"/>
  <c r="A110" i="54"/>
  <c r="A111" i="54"/>
  <c r="A112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A98" i="54"/>
  <c r="A82" i="54"/>
  <c r="A99" i="54"/>
  <c r="A100" i="54"/>
  <c r="A101" i="54"/>
  <c r="A102" i="54"/>
  <c r="A74" i="54"/>
  <c r="A75" i="54"/>
  <c r="A76" i="54"/>
  <c r="A77" i="54"/>
  <c r="A78" i="54"/>
  <c r="BW33" i="17"/>
  <c r="BW19" i="17"/>
  <c r="C112" i="54"/>
  <c r="AC44" i="70"/>
  <c r="F44" i="70"/>
  <c r="G44" i="70" s="1"/>
  <c r="B2592" i="53" s="1"/>
  <c r="D42" i="6"/>
  <c r="D89" i="6" s="1"/>
  <c r="C42" i="6"/>
  <c r="C89" i="6"/>
  <c r="D41" i="6"/>
  <c r="D88" i="6" s="1"/>
  <c r="B42" i="6"/>
  <c r="B89" i="6" s="1"/>
  <c r="AK34" i="17"/>
  <c r="AJ34" i="17" s="1"/>
  <c r="AK24" i="17"/>
  <c r="AJ24" i="17" s="1"/>
  <c r="AK19" i="17"/>
  <c r="AJ19" i="17" s="1"/>
  <c r="AZ98" i="102"/>
  <c r="AZ21" i="102"/>
  <c r="AZ49" i="102"/>
  <c r="AZ34" i="102"/>
  <c r="AZ74" i="102"/>
  <c r="AZ86" i="102"/>
  <c r="AZ80" i="102"/>
  <c r="AZ13" i="102"/>
  <c r="AZ47" i="102"/>
  <c r="AZ87" i="102"/>
  <c r="AZ90" i="102"/>
  <c r="AZ53" i="102"/>
  <c r="AZ43" i="102"/>
  <c r="AZ56" i="102"/>
  <c r="AZ79" i="102"/>
  <c r="AZ50" i="102"/>
  <c r="AZ63" i="102"/>
  <c r="AZ18" i="102"/>
  <c r="AZ22" i="102"/>
  <c r="AX22" i="102"/>
  <c r="F127" i="54"/>
  <c r="Z18" i="24" s="1"/>
  <c r="AG29" i="56"/>
  <c r="AG38" i="56"/>
  <c r="D112" i="54"/>
  <c r="B112" i="54"/>
  <c r="F125" i="54"/>
  <c r="Z37" i="24" s="1"/>
  <c r="F126" i="54"/>
  <c r="AG59" i="56" s="1"/>
  <c r="F124" i="54"/>
  <c r="AZ8" i="102"/>
  <c r="AZ14" i="102"/>
  <c r="AZ24" i="102"/>
  <c r="AZ29" i="102"/>
  <c r="AZ59" i="102"/>
  <c r="AK6" i="17"/>
  <c r="AJ6" i="17" s="1"/>
  <c r="AZ60" i="102"/>
  <c r="AZ72" i="102"/>
  <c r="AZ73" i="102"/>
  <c r="D40" i="6"/>
  <c r="D87" i="6" s="1"/>
  <c r="AK36" i="17"/>
  <c r="AJ36" i="17" s="1"/>
  <c r="B2173" i="53"/>
  <c r="B2172" i="53"/>
  <c r="E2197" i="53" s="1"/>
  <c r="B2144" i="53"/>
  <c r="B2143" i="53"/>
  <c r="E2168" i="53" s="1"/>
  <c r="B2115" i="53"/>
  <c r="B2114" i="53"/>
  <c r="E2139" i="53" s="1"/>
  <c r="AC42" i="70"/>
  <c r="AC48" i="70"/>
  <c r="AC43" i="70"/>
  <c r="B985" i="53" s="1"/>
  <c r="B110" i="54"/>
  <c r="C110" i="54"/>
  <c r="AB42" i="70" s="1"/>
  <c r="D110" i="54"/>
  <c r="B111" i="54"/>
  <c r="C111" i="54"/>
  <c r="D111" i="54"/>
  <c r="F42" i="70"/>
  <c r="G42" i="70" s="1"/>
  <c r="F43" i="70"/>
  <c r="G43" i="70" s="1"/>
  <c r="B2383" i="53" s="1"/>
  <c r="B40" i="96"/>
  <c r="C40" i="96"/>
  <c r="D40" i="96"/>
  <c r="B41" i="96"/>
  <c r="D41" i="96"/>
  <c r="C40" i="6"/>
  <c r="C87" i="6" s="1"/>
  <c r="C41" i="6"/>
  <c r="C88" i="6" s="1"/>
  <c r="A40" i="6"/>
  <c r="A87" i="6" s="1"/>
  <c r="A41" i="6"/>
  <c r="A88" i="6" s="1"/>
  <c r="B40" i="6"/>
  <c r="B87" i="6" s="1"/>
  <c r="B41" i="6"/>
  <c r="B88" i="6" s="1"/>
  <c r="AK42" i="17"/>
  <c r="AJ42" i="17" s="1"/>
  <c r="AM42" i="17"/>
  <c r="R42" i="70" s="1"/>
  <c r="B2040" i="53" s="1"/>
  <c r="AL42" i="17"/>
  <c r="AK43" i="17"/>
  <c r="AJ43" i="17" s="1"/>
  <c r="AL43" i="17"/>
  <c r="AM43" i="17"/>
  <c r="R43" i="70" s="1"/>
  <c r="B42" i="17"/>
  <c r="B43" i="17"/>
  <c r="AZ5" i="102"/>
  <c r="AX5" i="102"/>
  <c r="D93" i="54"/>
  <c r="D94" i="54"/>
  <c r="D95" i="54"/>
  <c r="B1135" i="53"/>
  <c r="A108" i="54"/>
  <c r="B108" i="54"/>
  <c r="B109" i="54"/>
  <c r="B81" i="54"/>
  <c r="B107" i="54"/>
  <c r="D101" i="54"/>
  <c r="D102" i="54"/>
  <c r="C101" i="54"/>
  <c r="C102" i="54"/>
  <c r="B101" i="54"/>
  <c r="B102" i="54"/>
  <c r="C85" i="54"/>
  <c r="AB20" i="70" s="1"/>
  <c r="C86" i="54"/>
  <c r="AB21" i="70" s="1"/>
  <c r="B317" i="53" s="1"/>
  <c r="C87" i="54"/>
  <c r="C88" i="54"/>
  <c r="AB23" i="70" s="1"/>
  <c r="B375" i="53" s="1"/>
  <c r="C89" i="54"/>
  <c r="AB24" i="70" s="1"/>
  <c r="B404" i="53" s="1"/>
  <c r="C90" i="54"/>
  <c r="C91" i="54"/>
  <c r="C92" i="54"/>
  <c r="AB27" i="70" s="1"/>
  <c r="B491" i="53" s="1"/>
  <c r="C93" i="54"/>
  <c r="AB28" i="70" s="1"/>
  <c r="C94" i="54"/>
  <c r="AB29" i="70" s="1"/>
  <c r="B1365" i="53" s="1"/>
  <c r="C95" i="54"/>
  <c r="C96" i="54"/>
  <c r="C97" i="54"/>
  <c r="AB32" i="70" s="1"/>
  <c r="B1515" i="53" s="1"/>
  <c r="C98" i="54"/>
  <c r="C82" i="54"/>
  <c r="C99" i="54"/>
  <c r="C100" i="54"/>
  <c r="AB35" i="70" s="1"/>
  <c r="B752" i="53" s="1"/>
  <c r="B85" i="54"/>
  <c r="B86" i="54"/>
  <c r="B87" i="54"/>
  <c r="B88" i="54"/>
  <c r="B89" i="54"/>
  <c r="B90" i="54"/>
  <c r="B91" i="54"/>
  <c r="B92" i="54"/>
  <c r="B93" i="54"/>
  <c r="B94" i="54"/>
  <c r="B95" i="54"/>
  <c r="B96" i="54"/>
  <c r="B97" i="54"/>
  <c r="B98" i="54"/>
  <c r="B82" i="54"/>
  <c r="B99" i="54"/>
  <c r="B100" i="54"/>
  <c r="B84" i="54"/>
  <c r="D75" i="54"/>
  <c r="D76" i="54"/>
  <c r="D77" i="54"/>
  <c r="D78" i="54"/>
  <c r="C75" i="54"/>
  <c r="C76" i="54"/>
  <c r="C77" i="54"/>
  <c r="C78" i="54"/>
  <c r="AL50" i="17"/>
  <c r="AL18" i="70"/>
  <c r="AC36" i="70"/>
  <c r="B782" i="53" s="1"/>
  <c r="AC37" i="70"/>
  <c r="B1874" i="53" s="1"/>
  <c r="AC40" i="70"/>
  <c r="B869" i="53" s="1"/>
  <c r="B202" i="53"/>
  <c r="B231" i="53"/>
  <c r="AX8" i="102"/>
  <c r="AZ32" i="102"/>
  <c r="AZ97" i="102"/>
  <c r="AL36" i="17"/>
  <c r="AM36" i="17"/>
  <c r="AK37" i="17"/>
  <c r="AJ37" i="17" s="1"/>
  <c r="AL37" i="17"/>
  <c r="AM37" i="17"/>
  <c r="AK10" i="17"/>
  <c r="AJ10" i="17" s="1"/>
  <c r="AL10" i="17"/>
  <c r="AM10" i="17"/>
  <c r="AK11" i="17"/>
  <c r="AJ11" i="17" s="1"/>
  <c r="AL11" i="17"/>
  <c r="AM11" i="17"/>
  <c r="AK12" i="17"/>
  <c r="AJ12" i="17" s="1"/>
  <c r="AL12" i="17"/>
  <c r="O12" i="70" s="1"/>
  <c r="B190" i="53" s="1"/>
  <c r="AM12" i="17"/>
  <c r="AK13" i="17"/>
  <c r="AJ13" i="17" s="1"/>
  <c r="AL13" i="17"/>
  <c r="O13" i="70" s="1"/>
  <c r="B219" i="53" s="1"/>
  <c r="AM13" i="17"/>
  <c r="D16" i="96"/>
  <c r="C16" i="96"/>
  <c r="B16" i="96"/>
  <c r="D39" i="96"/>
  <c r="C39" i="96"/>
  <c r="B39" i="96"/>
  <c r="D38" i="96"/>
  <c r="C38" i="96"/>
  <c r="B38" i="96"/>
  <c r="D37" i="96"/>
  <c r="C37" i="96"/>
  <c r="B37" i="96"/>
  <c r="D36" i="96"/>
  <c r="C36" i="96"/>
  <c r="B36" i="96"/>
  <c r="D35" i="96"/>
  <c r="C35" i="96"/>
  <c r="B35" i="96"/>
  <c r="D34" i="96"/>
  <c r="C34" i="96"/>
  <c r="B34" i="96"/>
  <c r="D33" i="96"/>
  <c r="C33" i="96"/>
  <c r="B33" i="96"/>
  <c r="D32" i="96"/>
  <c r="C32" i="96"/>
  <c r="B32" i="96"/>
  <c r="D31" i="96"/>
  <c r="C31" i="96"/>
  <c r="B31" i="96"/>
  <c r="D30" i="96"/>
  <c r="C30" i="96"/>
  <c r="B30" i="96"/>
  <c r="D29" i="96"/>
  <c r="C29" i="96"/>
  <c r="B29" i="96"/>
  <c r="D28" i="96"/>
  <c r="C28" i="96"/>
  <c r="B28" i="96"/>
  <c r="D27" i="96"/>
  <c r="C27" i="96"/>
  <c r="B27" i="96"/>
  <c r="D26" i="96"/>
  <c r="C26" i="96"/>
  <c r="B26" i="96"/>
  <c r="D25" i="96"/>
  <c r="C25" i="96"/>
  <c r="B25" i="96"/>
  <c r="D24" i="96"/>
  <c r="C24" i="96"/>
  <c r="B24" i="96"/>
  <c r="D23" i="96"/>
  <c r="C23" i="96"/>
  <c r="B23" i="96"/>
  <c r="D22" i="96"/>
  <c r="C22" i="96"/>
  <c r="B22" i="96"/>
  <c r="D21" i="96"/>
  <c r="C21" i="96"/>
  <c r="B21" i="96"/>
  <c r="D20" i="96"/>
  <c r="C20" i="96"/>
  <c r="B20" i="96"/>
  <c r="D19" i="96"/>
  <c r="C19" i="96"/>
  <c r="B19" i="96"/>
  <c r="D18" i="96"/>
  <c r="C18" i="96"/>
  <c r="B18" i="96"/>
  <c r="D17" i="96"/>
  <c r="C17" i="96"/>
  <c r="B17" i="96"/>
  <c r="D13" i="96"/>
  <c r="C13" i="96"/>
  <c r="B13" i="96"/>
  <c r="D12" i="96"/>
  <c r="C12" i="96"/>
  <c r="B12" i="96"/>
  <c r="D11" i="96"/>
  <c r="C11" i="96"/>
  <c r="B11" i="96"/>
  <c r="D10" i="96"/>
  <c r="C10" i="96"/>
  <c r="B10" i="96"/>
  <c r="D9" i="96"/>
  <c r="C9" i="96"/>
  <c r="B9" i="96"/>
  <c r="D8" i="96"/>
  <c r="C8" i="96"/>
  <c r="B8" i="96"/>
  <c r="D7" i="96"/>
  <c r="C7" i="96"/>
  <c r="B7" i="96"/>
  <c r="A7" i="96"/>
  <c r="D6" i="96"/>
  <c r="C6" i="96"/>
  <c r="B6" i="96"/>
  <c r="A6" i="96"/>
  <c r="A46" i="6"/>
  <c r="A93" i="6" s="1"/>
  <c r="A47" i="6"/>
  <c r="A94" i="6" s="1"/>
  <c r="A45" i="6"/>
  <c r="A92" i="6" s="1"/>
  <c r="A38" i="6"/>
  <c r="A85" i="6" s="1"/>
  <c r="A39" i="6"/>
  <c r="A86" i="6" s="1"/>
  <c r="A16" i="6"/>
  <c r="A63" i="6" s="1"/>
  <c r="A37" i="6"/>
  <c r="A84" i="6" s="1"/>
  <c r="A33" i="6"/>
  <c r="A80" i="6" s="1"/>
  <c r="A34" i="6"/>
  <c r="A81" i="6" s="1"/>
  <c r="A35" i="6"/>
  <c r="A82" i="6"/>
  <c r="A36" i="6"/>
  <c r="A83" i="6" s="1"/>
  <c r="A18" i="6"/>
  <c r="A65" i="6" s="1"/>
  <c r="A19" i="6"/>
  <c r="A66" i="6" s="1"/>
  <c r="A20" i="6"/>
  <c r="A67" i="6"/>
  <c r="A21" i="6"/>
  <c r="A68" i="6" s="1"/>
  <c r="A22" i="6"/>
  <c r="A69" i="6" s="1"/>
  <c r="A23" i="6"/>
  <c r="A70" i="6" s="1"/>
  <c r="A24" i="6"/>
  <c r="A71" i="6" s="1"/>
  <c r="A25" i="6"/>
  <c r="A72" i="6" s="1"/>
  <c r="A26" i="6"/>
  <c r="A73" i="6" s="1"/>
  <c r="A27" i="6"/>
  <c r="A74" i="6" s="1"/>
  <c r="A28" i="6"/>
  <c r="A75" i="6" s="1"/>
  <c r="A29" i="6"/>
  <c r="A76" i="6" s="1"/>
  <c r="A30" i="6"/>
  <c r="A77" i="6" s="1"/>
  <c r="A31" i="6"/>
  <c r="A78" i="6" s="1"/>
  <c r="A32" i="6"/>
  <c r="A79" i="6"/>
  <c r="A17" i="6"/>
  <c r="A64" i="6" s="1"/>
  <c r="A8" i="6"/>
  <c r="A55" i="6" s="1"/>
  <c r="A9" i="6"/>
  <c r="A56" i="6" s="1"/>
  <c r="A10" i="6"/>
  <c r="A57" i="6"/>
  <c r="A11" i="6"/>
  <c r="A58" i="6" s="1"/>
  <c r="A12" i="6"/>
  <c r="A59" i="6" s="1"/>
  <c r="A13" i="6"/>
  <c r="A60" i="6" s="1"/>
  <c r="C39" i="6"/>
  <c r="C86" i="6" s="1"/>
  <c r="D39" i="6"/>
  <c r="D86" i="6" s="1"/>
  <c r="C16" i="6"/>
  <c r="C63" i="6" s="1"/>
  <c r="D16" i="6"/>
  <c r="D63" i="6" s="1"/>
  <c r="C92" i="6"/>
  <c r="D45" i="6"/>
  <c r="D92" i="6" s="1"/>
  <c r="C46" i="6"/>
  <c r="C93" i="6"/>
  <c r="D46" i="6"/>
  <c r="D93" i="6" s="1"/>
  <c r="C47" i="6"/>
  <c r="C94" i="6" s="1"/>
  <c r="D47" i="6"/>
  <c r="D94" i="6" s="1"/>
  <c r="B46" i="6"/>
  <c r="B93" i="6" s="1"/>
  <c r="B47" i="6"/>
  <c r="B94" i="6" s="1"/>
  <c r="B45" i="6"/>
  <c r="B92" i="6" s="1"/>
  <c r="B38" i="6"/>
  <c r="B85" i="6" s="1"/>
  <c r="B39" i="6"/>
  <c r="B86" i="6" s="1"/>
  <c r="B16" i="6"/>
  <c r="B63" i="6" s="1"/>
  <c r="B37" i="6"/>
  <c r="B84" i="6" s="1"/>
  <c r="B36" i="6"/>
  <c r="B83" i="6" s="1"/>
  <c r="B35" i="6"/>
  <c r="B82" i="6"/>
  <c r="B33" i="6"/>
  <c r="B80" i="6" s="1"/>
  <c r="B34" i="6"/>
  <c r="B81" i="6" s="1"/>
  <c r="B31" i="6"/>
  <c r="B78" i="6" s="1"/>
  <c r="B32" i="6"/>
  <c r="B79" i="6"/>
  <c r="B29" i="6"/>
  <c r="B76" i="6" s="1"/>
  <c r="B30" i="6"/>
  <c r="B77" i="6" s="1"/>
  <c r="B28" i="6"/>
  <c r="B75" i="6" s="1"/>
  <c r="B27" i="6"/>
  <c r="B74" i="6" s="1"/>
  <c r="B18" i="6"/>
  <c r="B65" i="6" s="1"/>
  <c r="B19" i="6"/>
  <c r="B66" i="6" s="1"/>
  <c r="B20" i="6"/>
  <c r="B67" i="6" s="1"/>
  <c r="B21" i="6"/>
  <c r="B68" i="6" s="1"/>
  <c r="B22" i="6"/>
  <c r="B69" i="6" s="1"/>
  <c r="B23" i="6"/>
  <c r="B70" i="6" s="1"/>
  <c r="B24" i="6"/>
  <c r="B71" i="6" s="1"/>
  <c r="B25" i="6"/>
  <c r="B72" i="6"/>
  <c r="B26" i="6"/>
  <c r="B73" i="6" s="1"/>
  <c r="B17" i="6"/>
  <c r="B64" i="6" s="1"/>
  <c r="B13" i="6"/>
  <c r="B60" i="6" s="1"/>
  <c r="B11" i="6"/>
  <c r="B58" i="6"/>
  <c r="B12" i="6"/>
  <c r="B59" i="6" s="1"/>
  <c r="B8" i="6"/>
  <c r="B55" i="6" s="1"/>
  <c r="B9" i="6"/>
  <c r="B56" i="6" s="1"/>
  <c r="B10" i="6"/>
  <c r="B57" i="6" s="1"/>
  <c r="B7" i="6"/>
  <c r="B54" i="6" s="1"/>
  <c r="A7" i="6"/>
  <c r="A54" i="6" s="1"/>
  <c r="A35" i="17"/>
  <c r="A36" i="17"/>
  <c r="A37" i="17"/>
  <c r="A7" i="17"/>
  <c r="A8" i="17"/>
  <c r="A9" i="17"/>
  <c r="A10" i="17"/>
  <c r="A11" i="17"/>
  <c r="A12" i="17"/>
  <c r="A13" i="17"/>
  <c r="B36" i="17"/>
  <c r="B37" i="17"/>
  <c r="B10" i="17"/>
  <c r="B11" i="17"/>
  <c r="B12" i="17"/>
  <c r="B13" i="17"/>
  <c r="F37" i="70"/>
  <c r="G37" i="70" s="1"/>
  <c r="B792" i="53" s="1"/>
  <c r="L37" i="70"/>
  <c r="F36" i="70"/>
  <c r="G36" i="70" s="1"/>
  <c r="F11" i="70"/>
  <c r="G11" i="70" s="1"/>
  <c r="F12" i="70"/>
  <c r="G12" i="70" s="1"/>
  <c r="B183" i="53" s="1"/>
  <c r="F13" i="70"/>
  <c r="G13" i="70" s="1"/>
  <c r="F10" i="70"/>
  <c r="G10" i="70" s="1"/>
  <c r="C83" i="54"/>
  <c r="C73" i="54"/>
  <c r="C74" i="54"/>
  <c r="C84" i="54"/>
  <c r="C103" i="54"/>
  <c r="C107" i="54"/>
  <c r="C108" i="54"/>
  <c r="C109" i="54"/>
  <c r="AB41" i="70" s="1"/>
  <c r="B897" i="53" s="1"/>
  <c r="C81" i="54"/>
  <c r="A73" i="54"/>
  <c r="BW48" i="17"/>
  <c r="AS51" i="6"/>
  <c r="AK20" i="17"/>
  <c r="AJ20" i="17" s="1"/>
  <c r="AL20" i="17"/>
  <c r="AM20" i="17"/>
  <c r="P30" i="24" s="1"/>
  <c r="AK21" i="17"/>
  <c r="AL21" i="17"/>
  <c r="AM21" i="17"/>
  <c r="AK22" i="17"/>
  <c r="S22" i="70" s="1"/>
  <c r="B339" i="53" s="1"/>
  <c r="AL22" i="17"/>
  <c r="AM22" i="17"/>
  <c r="AK23" i="17"/>
  <c r="AL23" i="17"/>
  <c r="AM23" i="17"/>
  <c r="AL24" i="17"/>
  <c r="AM24" i="17"/>
  <c r="AK25" i="17"/>
  <c r="AJ25" i="17" s="1"/>
  <c r="AL25" i="17"/>
  <c r="AM25" i="17"/>
  <c r="AK26" i="17"/>
  <c r="AJ26" i="17" s="1"/>
  <c r="AL26" i="17"/>
  <c r="M43" i="24" s="1"/>
  <c r="AM26" i="17"/>
  <c r="AK27" i="17"/>
  <c r="AJ27" i="17" s="1"/>
  <c r="AL27" i="17"/>
  <c r="AM27" i="17"/>
  <c r="R27" i="70" s="1"/>
  <c r="B483" i="53" s="1"/>
  <c r="AL28" i="17"/>
  <c r="AM28" i="17"/>
  <c r="AK29" i="17"/>
  <c r="AJ29" i="17" s="1"/>
  <c r="AL29" i="17"/>
  <c r="AM29" i="17"/>
  <c r="AK30" i="17"/>
  <c r="AJ30" i="17" s="1"/>
  <c r="AL30" i="17"/>
  <c r="AM30" i="17"/>
  <c r="R30" i="70" s="1"/>
  <c r="B570" i="53" s="1"/>
  <c r="AK31" i="17"/>
  <c r="AJ31" i="17" s="1"/>
  <c r="AL31" i="17"/>
  <c r="AM31" i="17"/>
  <c r="AK32" i="17"/>
  <c r="AJ32" i="17" s="1"/>
  <c r="AM32" i="17"/>
  <c r="AL32" i="17"/>
  <c r="AK33" i="17"/>
  <c r="AJ33" i="17" s="1"/>
  <c r="AM33" i="17"/>
  <c r="AK17" i="17"/>
  <c r="AJ17" i="17" s="1"/>
  <c r="AM17" i="17"/>
  <c r="AL34" i="17"/>
  <c r="AM34" i="17"/>
  <c r="AK35" i="17"/>
  <c r="AJ35" i="17" s="1"/>
  <c r="AL35" i="17"/>
  <c r="AM35" i="17"/>
  <c r="AM19" i="17"/>
  <c r="R19" i="70" s="1"/>
  <c r="B251" i="53" s="1"/>
  <c r="AL19" i="17"/>
  <c r="AZ19" i="102"/>
  <c r="AZ88" i="102"/>
  <c r="AZ89" i="102"/>
  <c r="AZ91" i="102"/>
  <c r="AZ67" i="102"/>
  <c r="AZ45" i="102"/>
  <c r="AZ61" i="102"/>
  <c r="AZ48" i="102"/>
  <c r="AZ42" i="102"/>
  <c r="AZ69" i="102"/>
  <c r="AZ10" i="102"/>
  <c r="AZ6" i="102"/>
  <c r="AZ31" i="102"/>
  <c r="P64" i="5"/>
  <c r="P52" i="5"/>
  <c r="P2" i="5"/>
  <c r="N2" i="5"/>
  <c r="F52" i="5"/>
  <c r="H52" i="5"/>
  <c r="J52" i="5"/>
  <c r="AZ40" i="102"/>
  <c r="AX57" i="102"/>
  <c r="AZ57" i="102"/>
  <c r="AZ36" i="102"/>
  <c r="AZ30" i="102"/>
  <c r="AX30" i="102"/>
  <c r="AZ44" i="102"/>
  <c r="AX45" i="102"/>
  <c r="AX44" i="102"/>
  <c r="AX53" i="102"/>
  <c r="AW53" i="102"/>
  <c r="AX54" i="102"/>
  <c r="AC17" i="70"/>
  <c r="B1694" i="53" s="1"/>
  <c r="F17" i="70"/>
  <c r="AK7" i="17"/>
  <c r="AJ7" i="17" s="1"/>
  <c r="AL7" i="17"/>
  <c r="M40" i="24" s="1"/>
  <c r="AM7" i="17"/>
  <c r="P40" i="24" s="1"/>
  <c r="AK9" i="17"/>
  <c r="AJ9" i="17" s="1"/>
  <c r="AL9" i="17"/>
  <c r="M42" i="24" s="1"/>
  <c r="AM9" i="17"/>
  <c r="AK16" i="17"/>
  <c r="AJ16" i="17" s="1"/>
  <c r="A6" i="6"/>
  <c r="A53" i="6" s="1"/>
  <c r="B6" i="6"/>
  <c r="B53" i="6" s="1"/>
  <c r="B125" i="54"/>
  <c r="C125" i="54"/>
  <c r="D125" i="54"/>
  <c r="B126" i="54"/>
  <c r="C126" i="54"/>
  <c r="D126" i="54"/>
  <c r="C124" i="54"/>
  <c r="D124" i="54"/>
  <c r="A83" i="54"/>
  <c r="A84" i="54"/>
  <c r="A85" i="54"/>
  <c r="A103" i="54"/>
  <c r="A107" i="54"/>
  <c r="A72" i="54"/>
  <c r="D73" i="54"/>
  <c r="D74" i="54"/>
  <c r="D81" i="54"/>
  <c r="C71" i="54"/>
  <c r="D84" i="54"/>
  <c r="D85" i="54"/>
  <c r="D86" i="54"/>
  <c r="D87" i="54"/>
  <c r="D88" i="54"/>
  <c r="D89" i="54"/>
  <c r="D90" i="54"/>
  <c r="D91" i="54"/>
  <c r="D92" i="54"/>
  <c r="D96" i="54"/>
  <c r="D97" i="54"/>
  <c r="D98" i="54"/>
  <c r="D82" i="54"/>
  <c r="D99" i="54"/>
  <c r="D100" i="54"/>
  <c r="D107" i="54"/>
  <c r="D108" i="54"/>
  <c r="D109" i="54"/>
  <c r="C72" i="54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17" i="17"/>
  <c r="A34" i="17"/>
  <c r="A16" i="17"/>
  <c r="B34" i="17"/>
  <c r="B35" i="17"/>
  <c r="B17" i="17"/>
  <c r="B9" i="17"/>
  <c r="AC35" i="70"/>
  <c r="B753" i="53" s="1"/>
  <c r="F35" i="70"/>
  <c r="G35" i="70" s="1"/>
  <c r="B1765" i="53" s="1"/>
  <c r="F34" i="70"/>
  <c r="AX34" i="102"/>
  <c r="AX58" i="102"/>
  <c r="AZ52" i="102"/>
  <c r="AX52" i="102"/>
  <c r="AX62" i="102"/>
  <c r="F30" i="70"/>
  <c r="G30" i="70" s="1"/>
  <c r="B608" i="53"/>
  <c r="F31" i="70"/>
  <c r="G31" i="70" s="1"/>
  <c r="F32" i="70"/>
  <c r="G32" i="70" s="1"/>
  <c r="AC32" i="70"/>
  <c r="B637" i="53" s="1"/>
  <c r="B29" i="17"/>
  <c r="B30" i="17"/>
  <c r="B31" i="17"/>
  <c r="B32" i="17"/>
  <c r="B20" i="17"/>
  <c r="B21" i="17"/>
  <c r="B22" i="17"/>
  <c r="B23" i="17"/>
  <c r="B24" i="17"/>
  <c r="B25" i="17"/>
  <c r="B26" i="17"/>
  <c r="B27" i="17"/>
  <c r="B28" i="17"/>
  <c r="B7" i="17"/>
  <c r="B33" i="17"/>
  <c r="B8" i="17"/>
  <c r="A125" i="54"/>
  <c r="A126" i="54"/>
  <c r="A124" i="54"/>
  <c r="F8" i="70"/>
  <c r="G8" i="70" s="1"/>
  <c r="V8" i="70" s="1"/>
  <c r="AZ25" i="102"/>
  <c r="AX25" i="102"/>
  <c r="AX9" i="102"/>
  <c r="AZ9" i="102"/>
  <c r="AK8" i="17"/>
  <c r="AJ8" i="17" s="1"/>
  <c r="AK9" i="25" s="1"/>
  <c r="AN9" i="25" s="1"/>
  <c r="AL8" i="17"/>
  <c r="AM8" i="17"/>
  <c r="AX68" i="102"/>
  <c r="AX69" i="102"/>
  <c r="AX64" i="102"/>
  <c r="AW64" i="102"/>
  <c r="AY64" i="102" s="1"/>
  <c r="AX27" i="102"/>
  <c r="AZ82" i="102"/>
  <c r="AZ83" i="102"/>
  <c r="AZ84" i="102"/>
  <c r="AM49" i="17"/>
  <c r="R49" i="70" s="1"/>
  <c r="B2512" i="53" s="1"/>
  <c r="AM50" i="17"/>
  <c r="AM48" i="17"/>
  <c r="AL49" i="17"/>
  <c r="AL48" i="17"/>
  <c r="M9" i="24" s="1"/>
  <c r="AK49" i="17"/>
  <c r="AJ49" i="17" s="1"/>
  <c r="AK50" i="17"/>
  <c r="AJ50" i="17" s="1"/>
  <c r="AK48" i="17"/>
  <c r="AM39" i="17"/>
  <c r="AM40" i="17"/>
  <c r="AK39" i="17"/>
  <c r="AJ39" i="17" s="1"/>
  <c r="AK40" i="17"/>
  <c r="AJ40" i="17" s="1"/>
  <c r="AL6" i="17"/>
  <c r="O33" i="56" s="1"/>
  <c r="AM41" i="17"/>
  <c r="AK41" i="17"/>
  <c r="AJ41" i="17" s="1"/>
  <c r="A39" i="17"/>
  <c r="A40" i="17"/>
  <c r="A49" i="17"/>
  <c r="A50" i="17"/>
  <c r="A48" i="17"/>
  <c r="A19" i="17"/>
  <c r="A6" i="17"/>
  <c r="A41" i="17"/>
  <c r="B39" i="17"/>
  <c r="AZ65" i="102"/>
  <c r="AX65" i="102"/>
  <c r="AW87" i="102"/>
  <c r="AY87" i="102" s="1"/>
  <c r="AX87" i="102"/>
  <c r="F39" i="70"/>
  <c r="G39" i="70" s="1"/>
  <c r="F40" i="70"/>
  <c r="G40" i="70"/>
  <c r="W40" i="70" s="1"/>
  <c r="B1928" i="53" s="1"/>
  <c r="AX31" i="102"/>
  <c r="AX17" i="102"/>
  <c r="B124" i="54"/>
  <c r="B49" i="17"/>
  <c r="B50" i="17"/>
  <c r="B48" i="17"/>
  <c r="AW34" i="102"/>
  <c r="AY34" i="102" s="1"/>
  <c r="AW30" i="102"/>
  <c r="AY30" i="102" s="1"/>
  <c r="AW29" i="102"/>
  <c r="AY29" i="102" s="1"/>
  <c r="AW28" i="102"/>
  <c r="AW27" i="102"/>
  <c r="AY27" i="102"/>
  <c r="AW25" i="102"/>
  <c r="AY25" i="102" s="1"/>
  <c r="AX24" i="102"/>
  <c r="AX23" i="102"/>
  <c r="AW23" i="102"/>
  <c r="AY23" i="102" s="1"/>
  <c r="AW22" i="102"/>
  <c r="AY22" i="102"/>
  <c r="AX19" i="102"/>
  <c r="AW19" i="102"/>
  <c r="AY19" i="102" s="1"/>
  <c r="AX18" i="102"/>
  <c r="AW18" i="102"/>
  <c r="AY18" i="102" s="1"/>
  <c r="AW17" i="102"/>
  <c r="AX15" i="102"/>
  <c r="AX14" i="102"/>
  <c r="AW14" i="102"/>
  <c r="AY14" i="102"/>
  <c r="AX13" i="102"/>
  <c r="AW13" i="102"/>
  <c r="AY13" i="102" s="1"/>
  <c r="AW9" i="102"/>
  <c r="AY9" i="102"/>
  <c r="AW8" i="102"/>
  <c r="AY8" i="102" s="1"/>
  <c r="AX6" i="102"/>
  <c r="AW6" i="102"/>
  <c r="AY6" i="102" s="1"/>
  <c r="AW10" i="102"/>
  <c r="AY10" i="102" s="1"/>
  <c r="AW7" i="102"/>
  <c r="AY7" i="102"/>
  <c r="AX7" i="102"/>
  <c r="AX10" i="102"/>
  <c r="AX11" i="102"/>
  <c r="AX12" i="102"/>
  <c r="AX16" i="102"/>
  <c r="AX20" i="102"/>
  <c r="AX21" i="102"/>
  <c r="AX26" i="102"/>
  <c r="AX29" i="102"/>
  <c r="AX32" i="102"/>
  <c r="AX33" i="102"/>
  <c r="AX35" i="102"/>
  <c r="AX36" i="102"/>
  <c r="AX37" i="102"/>
  <c r="AX38" i="102"/>
  <c r="AX39" i="102"/>
  <c r="AX40" i="102"/>
  <c r="AX41" i="102"/>
  <c r="AX42" i="102"/>
  <c r="AX43" i="102"/>
  <c r="AX46" i="102"/>
  <c r="AX47" i="102"/>
  <c r="AX48" i="102"/>
  <c r="AX49" i="102"/>
  <c r="AX50" i="102"/>
  <c r="AX51" i="102"/>
  <c r="AX55" i="102"/>
  <c r="AX56" i="102"/>
  <c r="AX59" i="102"/>
  <c r="AX60" i="102"/>
  <c r="AX61" i="102"/>
  <c r="AX63" i="102"/>
  <c r="AX66" i="102"/>
  <c r="AX67" i="102"/>
  <c r="AX70" i="102"/>
  <c r="AX71" i="102"/>
  <c r="AX72" i="102"/>
  <c r="AX73" i="102"/>
  <c r="AX75" i="102"/>
  <c r="AX76" i="102"/>
  <c r="AX85" i="102"/>
  <c r="AX86" i="102"/>
  <c r="AW5" i="102"/>
  <c r="AY5" i="102"/>
  <c r="AW84" i="102"/>
  <c r="AY84" i="102" s="1"/>
  <c r="AW85" i="102"/>
  <c r="AY85" i="102"/>
  <c r="AW86" i="102"/>
  <c r="AY86" i="102" s="1"/>
  <c r="BR2" i="17"/>
  <c r="F48" i="70"/>
  <c r="G48" i="70"/>
  <c r="B2442" i="53" s="1"/>
  <c r="B6" i="17"/>
  <c r="F6" i="70"/>
  <c r="G6" i="70" s="1"/>
  <c r="B3097" i="53"/>
  <c r="B2889" i="53"/>
  <c r="B3122" i="53"/>
  <c r="B3116" i="53"/>
  <c r="B3103" i="53"/>
  <c r="B3102" i="53"/>
  <c r="B3101" i="53"/>
  <c r="B3099" i="53"/>
  <c r="B3098" i="53"/>
  <c r="B3095" i="53"/>
  <c r="B3092" i="53"/>
  <c r="B3086" i="53"/>
  <c r="B3073" i="53"/>
  <c r="B3072" i="53"/>
  <c r="B3071" i="53"/>
  <c r="B3069" i="53"/>
  <c r="B3068" i="53"/>
  <c r="B3067" i="53"/>
  <c r="B3065" i="53"/>
  <c r="B3062" i="53"/>
  <c r="B3056" i="53"/>
  <c r="B3043" i="53"/>
  <c r="B3042" i="53"/>
  <c r="B3041" i="53"/>
  <c r="B3039" i="53"/>
  <c r="B3038" i="53"/>
  <c r="B3037" i="53"/>
  <c r="B3035" i="53"/>
  <c r="B3032" i="53"/>
  <c r="B3026" i="53"/>
  <c r="B3013" i="53"/>
  <c r="B3012" i="53"/>
  <c r="B3011" i="53"/>
  <c r="B3009" i="53"/>
  <c r="B3008" i="53"/>
  <c r="B3007" i="53"/>
  <c r="B3005" i="53"/>
  <c r="B2978" i="53"/>
  <c r="B2799" i="53"/>
  <c r="E2824" i="53" s="1"/>
  <c r="B2439" i="53"/>
  <c r="E2464" i="53" s="1"/>
  <c r="B2380" i="53"/>
  <c r="E2405" i="53" s="1"/>
  <c r="AW57" i="102"/>
  <c r="AY57" i="102" s="1"/>
  <c r="AW40" i="102"/>
  <c r="AY40" i="102"/>
  <c r="AW33" i="102"/>
  <c r="AY33" i="102" s="1"/>
  <c r="AW32" i="102"/>
  <c r="AY32" i="102"/>
  <c r="AW31" i="102"/>
  <c r="AY31" i="102" s="1"/>
  <c r="AY28" i="102"/>
  <c r="AW24" i="102"/>
  <c r="AY24" i="102" s="1"/>
  <c r="AW21" i="102"/>
  <c r="AY21" i="102"/>
  <c r="AW20" i="102"/>
  <c r="AY20" i="102" s="1"/>
  <c r="AY17" i="102"/>
  <c r="AW16" i="102"/>
  <c r="AY16" i="102"/>
  <c r="AW15" i="102"/>
  <c r="AY15" i="102" s="1"/>
  <c r="AW11" i="102"/>
  <c r="AY11" i="102" s="1"/>
  <c r="AW12" i="102"/>
  <c r="AY12" i="102" s="1"/>
  <c r="AW26" i="102"/>
  <c r="AY26" i="102" s="1"/>
  <c r="AW35" i="102"/>
  <c r="AY35" i="102" s="1"/>
  <c r="AW36" i="102"/>
  <c r="AY36" i="102" s="1"/>
  <c r="AW37" i="102"/>
  <c r="AY37" i="102" s="1"/>
  <c r="AW38" i="102"/>
  <c r="AY38" i="102" s="1"/>
  <c r="AW39" i="102"/>
  <c r="AY39" i="102"/>
  <c r="AW41" i="102"/>
  <c r="AY41" i="102" s="1"/>
  <c r="AW42" i="102"/>
  <c r="AY42" i="102"/>
  <c r="AW43" i="102"/>
  <c r="AY43" i="102" s="1"/>
  <c r="AW44" i="102"/>
  <c r="AY44" i="102"/>
  <c r="AW45" i="102"/>
  <c r="AY45" i="102" s="1"/>
  <c r="AW46" i="102"/>
  <c r="AY46" i="102"/>
  <c r="AW47" i="102"/>
  <c r="AY47" i="102" s="1"/>
  <c r="AW48" i="102"/>
  <c r="AY48" i="102"/>
  <c r="AW49" i="102"/>
  <c r="AY49" i="102" s="1"/>
  <c r="AW50" i="102"/>
  <c r="AY50" i="102"/>
  <c r="AW51" i="102"/>
  <c r="AY51" i="102" s="1"/>
  <c r="AW52" i="102"/>
  <c r="AY52" i="102"/>
  <c r="AY53" i="102"/>
  <c r="AW54" i="102"/>
  <c r="AY54" i="102" s="1"/>
  <c r="AW55" i="102"/>
  <c r="AY55" i="102"/>
  <c r="AW56" i="102"/>
  <c r="AY56" i="102" s="1"/>
  <c r="AW58" i="102"/>
  <c r="AY58" i="102"/>
  <c r="AW59" i="102"/>
  <c r="AY59" i="102" s="1"/>
  <c r="AW60" i="102"/>
  <c r="AY60" i="102"/>
  <c r="AW61" i="102"/>
  <c r="AY61" i="102" s="1"/>
  <c r="AW62" i="102"/>
  <c r="AY62" i="102"/>
  <c r="AW63" i="102"/>
  <c r="AY63" i="102" s="1"/>
  <c r="AW65" i="102"/>
  <c r="AY65" i="102"/>
  <c r="AW66" i="102"/>
  <c r="AY66" i="102" s="1"/>
  <c r="AW67" i="102"/>
  <c r="AY67" i="102"/>
  <c r="AW68" i="102"/>
  <c r="AY68" i="102" s="1"/>
  <c r="AW69" i="102"/>
  <c r="AY69" i="102"/>
  <c r="AW70" i="102"/>
  <c r="AY70" i="102" s="1"/>
  <c r="AW71" i="102"/>
  <c r="AY71" i="102"/>
  <c r="AW72" i="102"/>
  <c r="AY72" i="102" s="1"/>
  <c r="AW73" i="102"/>
  <c r="AY73" i="102"/>
  <c r="AW74" i="102"/>
  <c r="AY74" i="102" s="1"/>
  <c r="AW75" i="102"/>
  <c r="AY75" i="102"/>
  <c r="AW76" i="102"/>
  <c r="AY76" i="102" s="1"/>
  <c r="AW77" i="102"/>
  <c r="AY77" i="102"/>
  <c r="AW78" i="102"/>
  <c r="AY78" i="102" s="1"/>
  <c r="AW79" i="102"/>
  <c r="AY79" i="102"/>
  <c r="AW80" i="102"/>
  <c r="AY80" i="102" s="1"/>
  <c r="AW81" i="102"/>
  <c r="AY81" i="102"/>
  <c r="AW82" i="102"/>
  <c r="AY82" i="102" s="1"/>
  <c r="AW83" i="102"/>
  <c r="AY83" i="102"/>
  <c r="AC22" i="70"/>
  <c r="B347" i="53" s="1"/>
  <c r="AR4" i="72"/>
  <c r="B2977" i="53"/>
  <c r="E3002" i="53" s="1"/>
  <c r="B2947" i="53"/>
  <c r="E2972" i="53" s="1"/>
  <c r="B2918" i="53"/>
  <c r="E2943" i="53" s="1"/>
  <c r="B2888" i="53"/>
  <c r="E2913" i="53" s="1"/>
  <c r="B2858" i="53"/>
  <c r="E2883" i="53" s="1"/>
  <c r="B2828" i="53"/>
  <c r="E2853" i="53" s="1"/>
  <c r="B2679" i="53"/>
  <c r="E2704" i="53" s="1"/>
  <c r="B2649" i="53"/>
  <c r="E2674" i="53" s="1"/>
  <c r="AN2" i="17"/>
  <c r="B16" i="17"/>
  <c r="AC16" i="70"/>
  <c r="B927" i="53" s="1"/>
  <c r="B1014" i="53"/>
  <c r="F16" i="70"/>
  <c r="B3091" i="53"/>
  <c r="B3121" i="53"/>
  <c r="B3061" i="53"/>
  <c r="B3031" i="53"/>
  <c r="B3118" i="53"/>
  <c r="B3088" i="53"/>
  <c r="B3028" i="53"/>
  <c r="B3058" i="53"/>
  <c r="F33" i="70"/>
  <c r="G33" i="70" s="1"/>
  <c r="B1616" i="53" s="1"/>
  <c r="G8" i="8"/>
  <c r="I6" i="8"/>
  <c r="G6" i="8"/>
  <c r="I4" i="8"/>
  <c r="Z4" i="8"/>
  <c r="G4" i="8"/>
  <c r="E7" i="10"/>
  <c r="D5" i="10"/>
  <c r="D84" i="9"/>
  <c r="E84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D85" i="9"/>
  <c r="E85" i="9"/>
  <c r="F85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D86" i="9"/>
  <c r="E86" i="9"/>
  <c r="F86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D87" i="9"/>
  <c r="E87" i="9"/>
  <c r="F8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D88" i="9"/>
  <c r="E88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D89" i="9"/>
  <c r="E89" i="9"/>
  <c r="F89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D90" i="9"/>
  <c r="E90" i="9"/>
  <c r="F90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D91" i="9"/>
  <c r="E91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D92" i="9"/>
  <c r="E92" i="9"/>
  <c r="F92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D93" i="9"/>
  <c r="E93" i="9"/>
  <c r="F9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D94" i="9"/>
  <c r="E94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D95" i="9"/>
  <c r="E95" i="9"/>
  <c r="F95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D98" i="9"/>
  <c r="E98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D99" i="9"/>
  <c r="E99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D100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D101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D102" i="9"/>
  <c r="E102" i="9"/>
  <c r="F102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D103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D104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D107" i="9"/>
  <c r="E107" i="9"/>
  <c r="F107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D108" i="9"/>
  <c r="E108" i="9"/>
  <c r="F108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S108" i="9"/>
  <c r="D109" i="9"/>
  <c r="E109" i="9"/>
  <c r="F109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D110" i="9"/>
  <c r="E110" i="9"/>
  <c r="F110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D111" i="9"/>
  <c r="E111" i="9"/>
  <c r="F111" i="9"/>
  <c r="G111" i="9"/>
  <c r="H111" i="9"/>
  <c r="I111" i="9"/>
  <c r="J111" i="9"/>
  <c r="K111" i="9"/>
  <c r="L111" i="9"/>
  <c r="M111" i="9"/>
  <c r="N111" i="9"/>
  <c r="O111" i="9"/>
  <c r="P111" i="9"/>
  <c r="Q111" i="9"/>
  <c r="R111" i="9"/>
  <c r="S111" i="9"/>
  <c r="D112" i="9"/>
  <c r="E112" i="9"/>
  <c r="F112" i="9"/>
  <c r="G112" i="9"/>
  <c r="H112" i="9"/>
  <c r="I112" i="9"/>
  <c r="J112" i="9"/>
  <c r="K112" i="9"/>
  <c r="L112" i="9"/>
  <c r="M112" i="9"/>
  <c r="N112" i="9"/>
  <c r="O112" i="9"/>
  <c r="P112" i="9"/>
  <c r="Q112" i="9"/>
  <c r="R112" i="9"/>
  <c r="S112" i="9"/>
  <c r="D113" i="9"/>
  <c r="E113" i="9"/>
  <c r="F113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D114" i="9"/>
  <c r="E114" i="9"/>
  <c r="F114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D115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D116" i="9"/>
  <c r="E116" i="9"/>
  <c r="F116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D117" i="9"/>
  <c r="E117" i="9"/>
  <c r="F117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D118" i="9"/>
  <c r="E118" i="9"/>
  <c r="F118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D119" i="9"/>
  <c r="E119" i="9"/>
  <c r="F119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D120" i="9"/>
  <c r="E120" i="9"/>
  <c r="F120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D121" i="9"/>
  <c r="E121" i="9"/>
  <c r="F121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D122" i="9"/>
  <c r="E122" i="9"/>
  <c r="F122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D123" i="9"/>
  <c r="E123" i="9"/>
  <c r="F123" i="9"/>
  <c r="G123" i="9"/>
  <c r="H123" i="9"/>
  <c r="I123" i="9"/>
  <c r="J123" i="9"/>
  <c r="K123" i="9"/>
  <c r="L123" i="9"/>
  <c r="M123" i="9"/>
  <c r="N123" i="9"/>
  <c r="O123" i="9"/>
  <c r="P123" i="9"/>
  <c r="Q123" i="9"/>
  <c r="R123" i="9"/>
  <c r="S123" i="9"/>
  <c r="D124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D125" i="9"/>
  <c r="E125" i="9"/>
  <c r="F125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D126" i="9"/>
  <c r="E126" i="9"/>
  <c r="F126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D127" i="9"/>
  <c r="E127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D128" i="9"/>
  <c r="E128" i="9"/>
  <c r="F128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D129" i="9"/>
  <c r="E129" i="9"/>
  <c r="F129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D130" i="9"/>
  <c r="E130" i="9"/>
  <c r="F130" i="9"/>
  <c r="G130" i="9"/>
  <c r="H130" i="9"/>
  <c r="I130" i="9"/>
  <c r="J130" i="9"/>
  <c r="K130" i="9"/>
  <c r="L130" i="9"/>
  <c r="M130" i="9"/>
  <c r="N130" i="9"/>
  <c r="O130" i="9"/>
  <c r="P130" i="9"/>
  <c r="Q130" i="9"/>
  <c r="R130" i="9"/>
  <c r="S130" i="9"/>
  <c r="D131" i="9"/>
  <c r="E131" i="9"/>
  <c r="F131" i="9"/>
  <c r="G131" i="9"/>
  <c r="H131" i="9"/>
  <c r="I131" i="9"/>
  <c r="J131" i="9"/>
  <c r="K131" i="9"/>
  <c r="L131" i="9"/>
  <c r="M131" i="9"/>
  <c r="N131" i="9"/>
  <c r="O131" i="9"/>
  <c r="P131" i="9"/>
  <c r="Q131" i="9"/>
  <c r="R131" i="9"/>
  <c r="S131" i="9"/>
  <c r="D132" i="9"/>
  <c r="E132" i="9"/>
  <c r="F132" i="9"/>
  <c r="G132" i="9"/>
  <c r="H132" i="9"/>
  <c r="I132" i="9"/>
  <c r="J132" i="9"/>
  <c r="K132" i="9"/>
  <c r="L132" i="9"/>
  <c r="M132" i="9"/>
  <c r="N132" i="9"/>
  <c r="O132" i="9"/>
  <c r="P132" i="9"/>
  <c r="Q132" i="9"/>
  <c r="R132" i="9"/>
  <c r="S132" i="9"/>
  <c r="D133" i="9"/>
  <c r="E133" i="9"/>
  <c r="F133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D134" i="9"/>
  <c r="E134" i="9"/>
  <c r="F134" i="9"/>
  <c r="G134" i="9"/>
  <c r="H134" i="9"/>
  <c r="I134" i="9"/>
  <c r="J134" i="9"/>
  <c r="K134" i="9"/>
  <c r="L134" i="9"/>
  <c r="M134" i="9"/>
  <c r="N134" i="9"/>
  <c r="O134" i="9"/>
  <c r="P134" i="9"/>
  <c r="Q134" i="9"/>
  <c r="R134" i="9"/>
  <c r="S134" i="9"/>
  <c r="D135" i="9"/>
  <c r="E135" i="9"/>
  <c r="F135" i="9"/>
  <c r="G135" i="9"/>
  <c r="H135" i="9"/>
  <c r="I135" i="9"/>
  <c r="J135" i="9"/>
  <c r="K135" i="9"/>
  <c r="L135" i="9"/>
  <c r="M135" i="9"/>
  <c r="N135" i="9"/>
  <c r="O135" i="9"/>
  <c r="P135" i="9"/>
  <c r="Q135" i="9"/>
  <c r="R135" i="9"/>
  <c r="S135" i="9"/>
  <c r="D136" i="9"/>
  <c r="E136" i="9"/>
  <c r="F136" i="9"/>
  <c r="G136" i="9"/>
  <c r="H136" i="9"/>
  <c r="I136" i="9"/>
  <c r="J136" i="9"/>
  <c r="K136" i="9"/>
  <c r="L136" i="9"/>
  <c r="M136" i="9"/>
  <c r="N136" i="9"/>
  <c r="O136" i="9"/>
  <c r="P136" i="9"/>
  <c r="Q136" i="9"/>
  <c r="R136" i="9"/>
  <c r="S136" i="9"/>
  <c r="D137" i="9"/>
  <c r="E137" i="9"/>
  <c r="F137" i="9"/>
  <c r="G137" i="9"/>
  <c r="H137" i="9"/>
  <c r="I137" i="9"/>
  <c r="J137" i="9"/>
  <c r="K137" i="9"/>
  <c r="L137" i="9"/>
  <c r="M137" i="9"/>
  <c r="N137" i="9"/>
  <c r="O137" i="9"/>
  <c r="P137" i="9"/>
  <c r="Q137" i="9"/>
  <c r="R137" i="9"/>
  <c r="S137" i="9"/>
  <c r="D138" i="9"/>
  <c r="E138" i="9"/>
  <c r="F138" i="9"/>
  <c r="G138" i="9"/>
  <c r="H138" i="9"/>
  <c r="I138" i="9"/>
  <c r="J138" i="9"/>
  <c r="K138" i="9"/>
  <c r="L138" i="9"/>
  <c r="M138" i="9"/>
  <c r="N138" i="9"/>
  <c r="O138" i="9"/>
  <c r="P138" i="9"/>
  <c r="Q138" i="9"/>
  <c r="R138" i="9"/>
  <c r="S138" i="9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C49" i="70"/>
  <c r="B2521" i="53" s="1"/>
  <c r="AC50" i="70"/>
  <c r="B84" i="53"/>
  <c r="B1605" i="53"/>
  <c r="AC27" i="70"/>
  <c r="B492" i="53" s="1"/>
  <c r="AC29" i="70"/>
  <c r="B550" i="53" s="1"/>
  <c r="AC19" i="70"/>
  <c r="AC20" i="70"/>
  <c r="B289" i="53" s="1"/>
  <c r="AC21" i="70"/>
  <c r="B318" i="53" s="1"/>
  <c r="AC23" i="70"/>
  <c r="B376" i="53" s="1"/>
  <c r="AC24" i="70"/>
  <c r="B405" i="53" s="1"/>
  <c r="AC25" i="70"/>
  <c r="B434" i="53" s="1"/>
  <c r="AC26" i="70"/>
  <c r="B463" i="53" s="1"/>
  <c r="AC28" i="70"/>
  <c r="B521" i="53" s="1"/>
  <c r="B3119" i="53"/>
  <c r="B3089" i="53"/>
  <c r="B3029" i="53"/>
  <c r="B3059" i="53"/>
  <c r="U72" i="9"/>
  <c r="AH72" i="9"/>
  <c r="U66" i="9"/>
  <c r="U67" i="9"/>
  <c r="U68" i="9"/>
  <c r="U69" i="9"/>
  <c r="AD69" i="9" s="1"/>
  <c r="U70" i="9"/>
  <c r="AK70" i="9" s="1"/>
  <c r="U71" i="9"/>
  <c r="V71" i="11"/>
  <c r="U65" i="9"/>
  <c r="V65" i="9" s="1"/>
  <c r="U2" i="8"/>
  <c r="D4" i="9"/>
  <c r="U64" i="9"/>
  <c r="U63" i="9"/>
  <c r="F41" i="70"/>
  <c r="G41" i="70" s="1"/>
  <c r="F49" i="70"/>
  <c r="G49" i="70" s="1"/>
  <c r="F50" i="70"/>
  <c r="F29" i="70"/>
  <c r="G29" i="70" s="1"/>
  <c r="B531" i="53" s="1"/>
  <c r="B3070" i="53"/>
  <c r="B3100" i="53"/>
  <c r="B3002" i="53"/>
  <c r="B2996" i="53"/>
  <c r="B2983" i="53"/>
  <c r="B2982" i="53"/>
  <c r="B2981" i="53"/>
  <c r="B2979" i="53"/>
  <c r="B2975" i="53"/>
  <c r="B2943" i="53"/>
  <c r="B2937" i="53"/>
  <c r="B2924" i="53"/>
  <c r="B2923" i="53"/>
  <c r="B2922" i="53"/>
  <c r="B2920" i="53"/>
  <c r="B2919" i="53"/>
  <c r="B2916" i="53"/>
  <c r="B2883" i="53"/>
  <c r="B2877" i="53"/>
  <c r="B2864" i="53"/>
  <c r="B2863" i="53"/>
  <c r="B2862" i="53"/>
  <c r="B2860" i="53"/>
  <c r="B2859" i="53"/>
  <c r="B2856" i="53"/>
  <c r="B2824" i="53"/>
  <c r="B2818" i="53"/>
  <c r="B2805" i="53"/>
  <c r="B2804" i="53"/>
  <c r="B2803" i="53"/>
  <c r="B2801" i="53"/>
  <c r="B2800" i="53"/>
  <c r="B2797" i="53"/>
  <c r="B2764" i="53"/>
  <c r="B2758" i="53"/>
  <c r="B2745" i="53"/>
  <c r="B2744" i="53"/>
  <c r="B2743" i="53"/>
  <c r="B2741" i="53"/>
  <c r="B2740" i="53"/>
  <c r="B2739" i="53"/>
  <c r="E2764" i="53" s="1"/>
  <c r="B2737" i="53"/>
  <c r="B2704" i="53"/>
  <c r="B2698" i="53"/>
  <c r="B2685" i="53"/>
  <c r="B2684" i="53"/>
  <c r="B2683" i="53"/>
  <c r="B2681" i="53"/>
  <c r="B2680" i="53"/>
  <c r="B2677" i="53"/>
  <c r="B2644" i="53"/>
  <c r="B2638" i="53"/>
  <c r="B2625" i="53"/>
  <c r="B2624" i="53"/>
  <c r="B2623" i="53"/>
  <c r="B2621" i="53"/>
  <c r="B2620" i="53"/>
  <c r="B2619" i="53"/>
  <c r="E2644" i="53" s="1"/>
  <c r="B2617" i="53"/>
  <c r="B2584" i="53"/>
  <c r="B2578" i="53"/>
  <c r="B2565" i="53"/>
  <c r="B2564" i="53"/>
  <c r="B2563" i="53"/>
  <c r="B2561" i="53"/>
  <c r="B2560" i="53"/>
  <c r="B2559" i="53"/>
  <c r="E2584" i="53" s="1"/>
  <c r="B2557" i="53"/>
  <c r="B2524" i="53"/>
  <c r="B2518" i="53"/>
  <c r="B2505" i="53"/>
  <c r="B2504" i="53"/>
  <c r="B2503" i="53"/>
  <c r="B2501" i="53"/>
  <c r="B2500" i="53"/>
  <c r="B2499" i="53"/>
  <c r="E2524" i="53" s="1"/>
  <c r="B2497" i="53"/>
  <c r="B2464" i="53"/>
  <c r="B2445" i="53"/>
  <c r="B2444" i="53"/>
  <c r="B2443" i="53"/>
  <c r="B2441" i="53"/>
  <c r="B2440" i="53"/>
  <c r="B2437" i="53"/>
  <c r="B2405" i="53"/>
  <c r="B2399" i="53"/>
  <c r="B2386" i="53"/>
  <c r="B2385" i="53"/>
  <c r="B2384" i="53"/>
  <c r="B2382" i="53"/>
  <c r="B2381" i="53"/>
  <c r="B2378" i="53"/>
  <c r="B2345" i="53"/>
  <c r="B2339" i="53"/>
  <c r="B2326" i="53"/>
  <c r="B2325" i="53"/>
  <c r="B2324" i="53"/>
  <c r="B2322" i="53"/>
  <c r="B2321" i="53"/>
  <c r="B2320" i="53"/>
  <c r="E2345" i="53" s="1"/>
  <c r="B2318" i="53"/>
  <c r="B2286" i="53"/>
  <c r="B2267" i="53"/>
  <c r="B2266" i="53"/>
  <c r="B2265" i="53"/>
  <c r="B2263" i="53"/>
  <c r="B2262" i="53"/>
  <c r="B2261" i="53"/>
  <c r="E2286" i="53" s="1"/>
  <c r="B2259" i="53"/>
  <c r="B2226" i="53"/>
  <c r="B2220" i="53"/>
  <c r="B2207" i="53"/>
  <c r="B2206" i="53"/>
  <c r="B2205" i="53"/>
  <c r="B2203" i="53"/>
  <c r="B2202" i="53"/>
  <c r="B2201" i="53"/>
  <c r="E2226" i="53" s="1"/>
  <c r="B2199" i="53"/>
  <c r="B2168" i="53"/>
  <c r="B2162" i="53"/>
  <c r="B2149" i="53"/>
  <c r="B2148" i="53"/>
  <c r="B2147" i="53"/>
  <c r="B2145" i="53"/>
  <c r="B2141" i="53"/>
  <c r="B2110" i="53"/>
  <c r="B2104" i="53"/>
  <c r="B2091" i="53"/>
  <c r="B2090" i="53"/>
  <c r="B2089" i="53"/>
  <c r="B2087" i="53"/>
  <c r="B2086" i="53"/>
  <c r="B2085" i="53"/>
  <c r="E2110" i="53" s="1"/>
  <c r="B2083" i="53"/>
  <c r="B2052" i="53"/>
  <c r="B2046" i="53"/>
  <c r="B2033" i="53"/>
  <c r="B2032" i="53"/>
  <c r="B2031" i="53"/>
  <c r="B2029" i="53"/>
  <c r="B2028" i="53"/>
  <c r="B2027" i="53"/>
  <c r="E2052" i="53" s="1"/>
  <c r="B2025" i="53"/>
  <c r="B1994" i="53"/>
  <c r="B1988" i="53"/>
  <c r="B1975" i="53"/>
  <c r="B1974" i="53"/>
  <c r="B1973" i="53"/>
  <c r="B1971" i="53"/>
  <c r="B1970" i="53"/>
  <c r="B1969" i="53"/>
  <c r="E1994" i="53" s="1"/>
  <c r="B1967" i="53"/>
  <c r="B1930" i="53"/>
  <c r="B1917" i="53"/>
  <c r="B1916" i="53"/>
  <c r="B1915" i="53"/>
  <c r="B1913" i="53"/>
  <c r="B1912" i="53"/>
  <c r="B1911" i="53"/>
  <c r="E1936" i="53" s="1"/>
  <c r="B1909" i="53"/>
  <c r="B1877" i="53"/>
  <c r="B1871" i="53"/>
  <c r="B1858" i="53"/>
  <c r="B1857" i="53"/>
  <c r="B1856" i="53"/>
  <c r="B1854" i="53"/>
  <c r="B1853" i="53"/>
  <c r="B1852" i="53"/>
  <c r="E1877" i="53" s="1"/>
  <c r="B1850" i="53"/>
  <c r="B1817" i="53"/>
  <c r="B1811" i="53"/>
  <c r="B1798" i="53"/>
  <c r="B1797" i="53"/>
  <c r="B1796" i="53"/>
  <c r="B1794" i="53"/>
  <c r="B1793" i="53"/>
  <c r="B1792" i="53"/>
  <c r="E1817" i="53" s="1"/>
  <c r="B1790" i="53"/>
  <c r="B1751" i="53"/>
  <c r="B1738" i="53"/>
  <c r="B1737" i="53"/>
  <c r="B1736" i="53"/>
  <c r="B1734" i="53"/>
  <c r="B1733" i="53"/>
  <c r="B1732" i="53"/>
  <c r="E1757" i="53" s="1"/>
  <c r="B1730" i="53"/>
  <c r="B1691" i="53"/>
  <c r="B1678" i="53"/>
  <c r="B1677" i="53"/>
  <c r="B1676" i="53"/>
  <c r="B1674" i="53"/>
  <c r="B1673" i="53"/>
  <c r="B1672" i="53"/>
  <c r="E1697" i="53" s="1"/>
  <c r="B1670" i="53"/>
  <c r="B1632" i="53"/>
  <c r="B1619" i="53"/>
  <c r="B1618" i="53"/>
  <c r="B1617" i="53"/>
  <c r="B1615" i="53"/>
  <c r="B1614" i="53"/>
  <c r="B1613" i="53"/>
  <c r="E1638" i="53" s="1"/>
  <c r="B1611" i="53"/>
  <c r="B1559" i="53"/>
  <c r="B1558" i="53"/>
  <c r="B1557" i="53"/>
  <c r="B1555" i="53"/>
  <c r="B1554" i="53"/>
  <c r="B1553" i="53"/>
  <c r="E1578" i="53" s="1"/>
  <c r="B1551" i="53"/>
  <c r="B1500" i="53"/>
  <c r="B1499" i="53"/>
  <c r="B1498" i="53"/>
  <c r="B1496" i="53"/>
  <c r="B1495" i="53"/>
  <c r="B1494" i="53"/>
  <c r="E1519" i="53" s="1"/>
  <c r="B1492" i="53"/>
  <c r="B1453" i="53"/>
  <c r="B1440" i="53"/>
  <c r="B1439" i="53"/>
  <c r="B1438" i="53"/>
  <c r="B1436" i="53"/>
  <c r="B1435" i="53"/>
  <c r="B1434" i="53"/>
  <c r="E1459" i="53" s="1"/>
  <c r="B1432" i="53"/>
  <c r="B1393" i="53"/>
  <c r="B1380" i="53"/>
  <c r="B1379" i="53"/>
  <c r="B1378" i="53"/>
  <c r="B1376" i="53"/>
  <c r="B1375" i="53"/>
  <c r="B1374" i="53"/>
  <c r="E1399" i="53" s="1"/>
  <c r="B1372" i="53"/>
  <c r="B1334" i="53"/>
  <c r="B1321" i="53"/>
  <c r="B1320" i="53"/>
  <c r="B1319" i="53"/>
  <c r="B1317" i="53"/>
  <c r="B1316" i="53"/>
  <c r="B1315" i="53"/>
  <c r="E1340" i="53" s="1"/>
  <c r="B1313" i="53"/>
  <c r="B1274" i="53"/>
  <c r="B1261" i="53"/>
  <c r="B1260" i="53"/>
  <c r="B1259" i="53"/>
  <c r="B1257" i="53"/>
  <c r="B1256" i="53"/>
  <c r="B1255" i="53"/>
  <c r="E1280" i="53" s="1"/>
  <c r="B1253" i="53"/>
  <c r="B1194" i="53"/>
  <c r="B1077" i="53"/>
  <c r="B1019" i="53"/>
  <c r="B961" i="53"/>
  <c r="B903" i="53"/>
  <c r="B845" i="53"/>
  <c r="B787" i="53"/>
  <c r="B729" i="53"/>
  <c r="B671" i="53"/>
  <c r="B613" i="53"/>
  <c r="B555" i="53"/>
  <c r="B497" i="53"/>
  <c r="B439" i="53"/>
  <c r="B381" i="53"/>
  <c r="B323" i="53"/>
  <c r="B265" i="53"/>
  <c r="B207" i="53"/>
  <c r="B149" i="53"/>
  <c r="B90" i="53"/>
  <c r="B31" i="53"/>
  <c r="B2589" i="53"/>
  <c r="E2614" i="53" s="1"/>
  <c r="U62" i="9"/>
  <c r="U61" i="9"/>
  <c r="B1762" i="53"/>
  <c r="E1787" i="53" s="1"/>
  <c r="D9" i="31"/>
  <c r="D10" i="31"/>
  <c r="D11" i="31"/>
  <c r="D12" i="31"/>
  <c r="D13" i="31"/>
  <c r="I169" i="31"/>
  <c r="J169" i="31"/>
  <c r="F169" i="31"/>
  <c r="E169" i="31"/>
  <c r="D169" i="31"/>
  <c r="I168" i="31"/>
  <c r="L168" i="31"/>
  <c r="F168" i="31"/>
  <c r="E168" i="31"/>
  <c r="D168" i="31"/>
  <c r="I167" i="31"/>
  <c r="L167" i="31"/>
  <c r="F167" i="31"/>
  <c r="E167" i="31"/>
  <c r="D167" i="31"/>
  <c r="I166" i="31"/>
  <c r="K166" i="31"/>
  <c r="F166" i="31"/>
  <c r="E166" i="31"/>
  <c r="D166" i="31"/>
  <c r="I165" i="31"/>
  <c r="J165" i="31"/>
  <c r="F165" i="31"/>
  <c r="E165" i="31"/>
  <c r="D165" i="31"/>
  <c r="I164" i="31"/>
  <c r="K164" i="31"/>
  <c r="F164" i="31"/>
  <c r="E164" i="31"/>
  <c r="D164" i="31"/>
  <c r="I163" i="31"/>
  <c r="L163" i="31"/>
  <c r="F163" i="31"/>
  <c r="E163" i="31"/>
  <c r="D163" i="31"/>
  <c r="I162" i="31"/>
  <c r="K162" i="31"/>
  <c r="F162" i="31"/>
  <c r="E162" i="31"/>
  <c r="D162" i="31"/>
  <c r="I161" i="31"/>
  <c r="J161" i="31"/>
  <c r="F161" i="31"/>
  <c r="E161" i="31"/>
  <c r="D161" i="31"/>
  <c r="I160" i="31"/>
  <c r="K160" i="31"/>
  <c r="F160" i="31"/>
  <c r="E160" i="31"/>
  <c r="D160" i="31"/>
  <c r="I159" i="31"/>
  <c r="L159" i="31"/>
  <c r="F159" i="31"/>
  <c r="E159" i="31"/>
  <c r="D159" i="31"/>
  <c r="I158" i="31"/>
  <c r="K158" i="31"/>
  <c r="F158" i="31"/>
  <c r="E158" i="31"/>
  <c r="D158" i="31"/>
  <c r="I157" i="31"/>
  <c r="J157" i="31"/>
  <c r="F157" i="31"/>
  <c r="E157" i="31"/>
  <c r="D157" i="31"/>
  <c r="I156" i="31"/>
  <c r="K156" i="31"/>
  <c r="F156" i="31"/>
  <c r="E156" i="31"/>
  <c r="D156" i="31"/>
  <c r="I155" i="31"/>
  <c r="L155" i="31"/>
  <c r="F155" i="31"/>
  <c r="E155" i="31"/>
  <c r="D155" i="31"/>
  <c r="I154" i="31"/>
  <c r="K154" i="31"/>
  <c r="F154" i="31"/>
  <c r="E154" i="31"/>
  <c r="D154" i="31"/>
  <c r="I153" i="31"/>
  <c r="J153" i="31"/>
  <c r="F153" i="31"/>
  <c r="E153" i="31"/>
  <c r="D153" i="31"/>
  <c r="I152" i="31"/>
  <c r="L152" i="31"/>
  <c r="F152" i="31"/>
  <c r="E152" i="31"/>
  <c r="D152" i="31"/>
  <c r="I151" i="31"/>
  <c r="L151" i="31"/>
  <c r="F151" i="31"/>
  <c r="E151" i="31"/>
  <c r="D151" i="31"/>
  <c r="I150" i="31"/>
  <c r="K150" i="31"/>
  <c r="F150" i="31"/>
  <c r="E150" i="31"/>
  <c r="D150" i="31"/>
  <c r="I149" i="31"/>
  <c r="J149" i="31"/>
  <c r="F149" i="31"/>
  <c r="E149" i="31"/>
  <c r="D149" i="31"/>
  <c r="I148" i="31"/>
  <c r="K148" i="31"/>
  <c r="F148" i="31"/>
  <c r="E148" i="31"/>
  <c r="D148" i="31"/>
  <c r="I147" i="31"/>
  <c r="L147" i="31"/>
  <c r="F147" i="31"/>
  <c r="E147" i="31"/>
  <c r="D147" i="31"/>
  <c r="I146" i="31"/>
  <c r="K146" i="31"/>
  <c r="F146" i="31"/>
  <c r="E146" i="31"/>
  <c r="D146" i="31"/>
  <c r="I145" i="31"/>
  <c r="J145" i="31"/>
  <c r="F145" i="31"/>
  <c r="E145" i="31"/>
  <c r="D145" i="31"/>
  <c r="I144" i="31"/>
  <c r="L144" i="31"/>
  <c r="F144" i="31"/>
  <c r="E144" i="31"/>
  <c r="D144" i="31"/>
  <c r="I143" i="31"/>
  <c r="L143" i="31"/>
  <c r="F143" i="31"/>
  <c r="E143" i="31"/>
  <c r="D143" i="31"/>
  <c r="I142" i="31"/>
  <c r="K142" i="31"/>
  <c r="F142" i="31"/>
  <c r="E142" i="31"/>
  <c r="D142" i="31"/>
  <c r="I141" i="31"/>
  <c r="J141" i="31"/>
  <c r="F141" i="31"/>
  <c r="E141" i="31"/>
  <c r="D141" i="31"/>
  <c r="I140" i="31"/>
  <c r="K140" i="31"/>
  <c r="F140" i="31"/>
  <c r="E140" i="31"/>
  <c r="D140" i="31"/>
  <c r="I139" i="31"/>
  <c r="L139" i="31"/>
  <c r="F139" i="31"/>
  <c r="E139" i="31"/>
  <c r="D139" i="31"/>
  <c r="I138" i="31"/>
  <c r="K138" i="31"/>
  <c r="F138" i="31"/>
  <c r="E138" i="31"/>
  <c r="D138" i="31"/>
  <c r="I137" i="31"/>
  <c r="J137" i="31"/>
  <c r="F137" i="31"/>
  <c r="E137" i="31"/>
  <c r="D137" i="31"/>
  <c r="I136" i="31"/>
  <c r="L136" i="31"/>
  <c r="F136" i="31"/>
  <c r="E136" i="31"/>
  <c r="D136" i="31"/>
  <c r="I135" i="31"/>
  <c r="L135" i="31"/>
  <c r="F135" i="31"/>
  <c r="E135" i="31"/>
  <c r="D135" i="31"/>
  <c r="I134" i="31"/>
  <c r="K134" i="31"/>
  <c r="F134" i="31"/>
  <c r="E134" i="31"/>
  <c r="D134" i="31"/>
  <c r="I133" i="31"/>
  <c r="J133" i="31"/>
  <c r="F133" i="31"/>
  <c r="E133" i="31"/>
  <c r="D133" i="31"/>
  <c r="I132" i="31"/>
  <c r="K132" i="31"/>
  <c r="F132" i="31"/>
  <c r="E132" i="31"/>
  <c r="D132" i="31"/>
  <c r="I131" i="31"/>
  <c r="L131" i="31"/>
  <c r="F131" i="31"/>
  <c r="E131" i="31"/>
  <c r="D131" i="31"/>
  <c r="I130" i="31"/>
  <c r="K130" i="31"/>
  <c r="F130" i="31"/>
  <c r="E130" i="31"/>
  <c r="D130" i="31"/>
  <c r="I129" i="31"/>
  <c r="J129" i="31"/>
  <c r="F129" i="31"/>
  <c r="E129" i="31"/>
  <c r="D129" i="31"/>
  <c r="I128" i="31"/>
  <c r="L128" i="31"/>
  <c r="F128" i="31"/>
  <c r="E128" i="31"/>
  <c r="D128" i="31"/>
  <c r="I127" i="31"/>
  <c r="L127" i="31"/>
  <c r="F127" i="31"/>
  <c r="E127" i="31"/>
  <c r="D127" i="31"/>
  <c r="I126" i="31"/>
  <c r="K126" i="31"/>
  <c r="F126" i="31"/>
  <c r="E126" i="31"/>
  <c r="D126" i="31"/>
  <c r="I125" i="31"/>
  <c r="J125" i="31"/>
  <c r="F125" i="31"/>
  <c r="E125" i="31"/>
  <c r="D125" i="31"/>
  <c r="I124" i="31"/>
  <c r="K124" i="31"/>
  <c r="F124" i="31"/>
  <c r="E124" i="31"/>
  <c r="D124" i="31"/>
  <c r="I123" i="31"/>
  <c r="L123" i="31"/>
  <c r="F123" i="31"/>
  <c r="E123" i="31"/>
  <c r="D123" i="31"/>
  <c r="I122" i="31"/>
  <c r="K122" i="31"/>
  <c r="F122" i="31"/>
  <c r="E122" i="31"/>
  <c r="D122" i="31"/>
  <c r="I121" i="31"/>
  <c r="J121" i="31"/>
  <c r="F121" i="31"/>
  <c r="E121" i="31"/>
  <c r="D121" i="31"/>
  <c r="I120" i="31"/>
  <c r="L120" i="31"/>
  <c r="F120" i="31"/>
  <c r="E120" i="31"/>
  <c r="D120" i="31"/>
  <c r="I119" i="31"/>
  <c r="L119" i="31"/>
  <c r="F119" i="31"/>
  <c r="E119" i="31"/>
  <c r="D119" i="31"/>
  <c r="I118" i="31"/>
  <c r="K118" i="31"/>
  <c r="F118" i="31"/>
  <c r="E118" i="31"/>
  <c r="D118" i="31"/>
  <c r="I117" i="31"/>
  <c r="J117" i="31"/>
  <c r="F117" i="31"/>
  <c r="E117" i="31"/>
  <c r="D117" i="31"/>
  <c r="I116" i="31"/>
  <c r="K116" i="31"/>
  <c r="F116" i="31"/>
  <c r="E116" i="31"/>
  <c r="D116" i="31"/>
  <c r="I115" i="31"/>
  <c r="L115" i="31"/>
  <c r="F115" i="31"/>
  <c r="E115" i="31"/>
  <c r="D115" i="31"/>
  <c r="I114" i="31"/>
  <c r="K114" i="31"/>
  <c r="F114" i="31"/>
  <c r="E114" i="31"/>
  <c r="D114" i="31"/>
  <c r="I113" i="31"/>
  <c r="J113" i="31"/>
  <c r="F113" i="31"/>
  <c r="E113" i="31"/>
  <c r="D113" i="31"/>
  <c r="I112" i="31"/>
  <c r="L112" i="31"/>
  <c r="F112" i="31"/>
  <c r="E112" i="31"/>
  <c r="D112" i="31"/>
  <c r="I111" i="31"/>
  <c r="L111" i="31"/>
  <c r="F111" i="31"/>
  <c r="E111" i="31"/>
  <c r="D111" i="31"/>
  <c r="I110" i="31"/>
  <c r="K110" i="31"/>
  <c r="F110" i="31"/>
  <c r="E110" i="31"/>
  <c r="D110" i="31"/>
  <c r="I109" i="31"/>
  <c r="J109" i="31"/>
  <c r="F109" i="31"/>
  <c r="E109" i="31"/>
  <c r="D109" i="31"/>
  <c r="I108" i="31"/>
  <c r="K108" i="31"/>
  <c r="F108" i="31"/>
  <c r="E108" i="31"/>
  <c r="D108" i="31"/>
  <c r="I107" i="31"/>
  <c r="L107" i="31"/>
  <c r="F107" i="31"/>
  <c r="E107" i="31"/>
  <c r="D107" i="31"/>
  <c r="I106" i="31"/>
  <c r="K106" i="31"/>
  <c r="F106" i="31"/>
  <c r="E106" i="31"/>
  <c r="D106" i="31"/>
  <c r="I105" i="31"/>
  <c r="J105" i="31"/>
  <c r="F105" i="31"/>
  <c r="E105" i="31"/>
  <c r="D105" i="31"/>
  <c r="I104" i="31"/>
  <c r="L104" i="31"/>
  <c r="F104" i="31"/>
  <c r="E104" i="31"/>
  <c r="D104" i="31"/>
  <c r="I103" i="31"/>
  <c r="L103" i="31"/>
  <c r="F103" i="31"/>
  <c r="E103" i="31"/>
  <c r="D103" i="31"/>
  <c r="I102" i="31"/>
  <c r="K102" i="31"/>
  <c r="F102" i="31"/>
  <c r="E102" i="31"/>
  <c r="D102" i="31"/>
  <c r="I101" i="31"/>
  <c r="J101" i="31"/>
  <c r="F101" i="31"/>
  <c r="E101" i="31"/>
  <c r="D101" i="31"/>
  <c r="I100" i="31"/>
  <c r="K100" i="31"/>
  <c r="F100" i="31"/>
  <c r="E100" i="31"/>
  <c r="D100" i="31"/>
  <c r="I99" i="31"/>
  <c r="L99" i="31"/>
  <c r="F99" i="31"/>
  <c r="E99" i="31"/>
  <c r="D99" i="31"/>
  <c r="I98" i="31"/>
  <c r="K98" i="31"/>
  <c r="F98" i="31"/>
  <c r="E98" i="31"/>
  <c r="D98" i="31"/>
  <c r="I97" i="31"/>
  <c r="J97" i="31"/>
  <c r="F97" i="31"/>
  <c r="E97" i="31"/>
  <c r="D97" i="31"/>
  <c r="I96" i="31"/>
  <c r="L96" i="31"/>
  <c r="F96" i="31"/>
  <c r="E96" i="31"/>
  <c r="D96" i="31"/>
  <c r="I95" i="31"/>
  <c r="L95" i="31"/>
  <c r="F95" i="31"/>
  <c r="E95" i="31"/>
  <c r="D95" i="31"/>
  <c r="I94" i="31"/>
  <c r="K94" i="31"/>
  <c r="F94" i="31"/>
  <c r="E94" i="31"/>
  <c r="D94" i="31"/>
  <c r="I93" i="31"/>
  <c r="J93" i="31"/>
  <c r="F93" i="31"/>
  <c r="E93" i="31"/>
  <c r="D93" i="31"/>
  <c r="I92" i="31"/>
  <c r="K92" i="31"/>
  <c r="F92" i="31"/>
  <c r="E92" i="31"/>
  <c r="D92" i="31"/>
  <c r="I91" i="31"/>
  <c r="L91" i="31"/>
  <c r="F91" i="31"/>
  <c r="E91" i="31"/>
  <c r="D91" i="31"/>
  <c r="I90" i="31"/>
  <c r="K90" i="31"/>
  <c r="F90" i="31"/>
  <c r="E90" i="31"/>
  <c r="D90" i="31"/>
  <c r="I89" i="31"/>
  <c r="J89" i="31"/>
  <c r="F89" i="31"/>
  <c r="E89" i="31"/>
  <c r="D89" i="31"/>
  <c r="I88" i="31"/>
  <c r="L88" i="31"/>
  <c r="F88" i="31"/>
  <c r="E88" i="31"/>
  <c r="D88" i="31"/>
  <c r="I87" i="31"/>
  <c r="L87" i="31"/>
  <c r="F87" i="31"/>
  <c r="E87" i="31"/>
  <c r="D87" i="31"/>
  <c r="I86" i="31"/>
  <c r="K86" i="31"/>
  <c r="F86" i="31"/>
  <c r="E86" i="31"/>
  <c r="D86" i="31"/>
  <c r="I85" i="31"/>
  <c r="J85" i="31"/>
  <c r="F85" i="31"/>
  <c r="E85" i="31"/>
  <c r="D85" i="31"/>
  <c r="I84" i="31"/>
  <c r="K84" i="31"/>
  <c r="F84" i="31"/>
  <c r="E84" i="31"/>
  <c r="D84" i="31"/>
  <c r="I83" i="31"/>
  <c r="L83" i="31"/>
  <c r="F83" i="31"/>
  <c r="E83" i="31"/>
  <c r="D83" i="31"/>
  <c r="I82" i="31"/>
  <c r="K82" i="31"/>
  <c r="F82" i="31"/>
  <c r="E82" i="31"/>
  <c r="D82" i="31"/>
  <c r="I81" i="31"/>
  <c r="J81" i="31"/>
  <c r="F81" i="31"/>
  <c r="E81" i="31"/>
  <c r="D81" i="31"/>
  <c r="I80" i="31"/>
  <c r="L80" i="31"/>
  <c r="F80" i="31"/>
  <c r="E80" i="31"/>
  <c r="D80" i="31"/>
  <c r="I79" i="31"/>
  <c r="L79" i="31"/>
  <c r="F79" i="31"/>
  <c r="E79" i="31"/>
  <c r="D79" i="31"/>
  <c r="I78" i="31"/>
  <c r="K78" i="31"/>
  <c r="F78" i="31"/>
  <c r="E78" i="31"/>
  <c r="D78" i="31"/>
  <c r="I77" i="31"/>
  <c r="J77" i="31"/>
  <c r="F77" i="31"/>
  <c r="E77" i="31"/>
  <c r="D77" i="31"/>
  <c r="I76" i="31"/>
  <c r="K76" i="31"/>
  <c r="F76" i="31"/>
  <c r="E76" i="31"/>
  <c r="D76" i="31"/>
  <c r="F75" i="31"/>
  <c r="E75" i="31"/>
  <c r="D75" i="31"/>
  <c r="I74" i="31"/>
  <c r="K74" i="31"/>
  <c r="F74" i="31"/>
  <c r="E74" i="31"/>
  <c r="D74" i="31"/>
  <c r="F73" i="31"/>
  <c r="E73" i="31"/>
  <c r="D73" i="31"/>
  <c r="F72" i="31"/>
  <c r="E72" i="31"/>
  <c r="D72" i="31"/>
  <c r="F71" i="31"/>
  <c r="E71" i="31"/>
  <c r="D71" i="31"/>
  <c r="F70" i="31"/>
  <c r="E70" i="31"/>
  <c r="D70" i="31"/>
  <c r="I69" i="31"/>
  <c r="J69" i="31"/>
  <c r="F69" i="31"/>
  <c r="E69" i="31"/>
  <c r="D69" i="31"/>
  <c r="F68" i="31"/>
  <c r="E68" i="31"/>
  <c r="D68" i="31"/>
  <c r="F67" i="31"/>
  <c r="E67" i="31"/>
  <c r="D67" i="31"/>
  <c r="F66" i="31"/>
  <c r="E66" i="31"/>
  <c r="D66" i="31"/>
  <c r="F65" i="31"/>
  <c r="E65" i="31"/>
  <c r="D65" i="31"/>
  <c r="F64" i="31"/>
  <c r="E64" i="31"/>
  <c r="D64" i="31"/>
  <c r="F63" i="31"/>
  <c r="E63" i="31"/>
  <c r="D63" i="31"/>
  <c r="F62" i="31"/>
  <c r="E62" i="31"/>
  <c r="D62" i="31"/>
  <c r="F61" i="31"/>
  <c r="E61" i="31"/>
  <c r="D61" i="31"/>
  <c r="F60" i="31"/>
  <c r="E60" i="31"/>
  <c r="D60" i="31"/>
  <c r="F59" i="31"/>
  <c r="E59" i="31"/>
  <c r="D59" i="31"/>
  <c r="F58" i="31"/>
  <c r="E58" i="31"/>
  <c r="D58" i="31"/>
  <c r="F57" i="31"/>
  <c r="E57" i="31"/>
  <c r="D57" i="31"/>
  <c r="F56" i="31"/>
  <c r="E56" i="31"/>
  <c r="D56" i="31"/>
  <c r="F55" i="31"/>
  <c r="E55" i="31"/>
  <c r="D55" i="31"/>
  <c r="F54" i="31"/>
  <c r="E54" i="31"/>
  <c r="D54" i="31"/>
  <c r="F53" i="31"/>
  <c r="E53" i="31"/>
  <c r="D53" i="31"/>
  <c r="F52" i="31"/>
  <c r="E52" i="31"/>
  <c r="D52" i="31"/>
  <c r="F51" i="31"/>
  <c r="E51" i="31"/>
  <c r="D51" i="31"/>
  <c r="F50" i="31"/>
  <c r="E50" i="31"/>
  <c r="D50" i="31"/>
  <c r="F49" i="31"/>
  <c r="E49" i="31"/>
  <c r="D49" i="31"/>
  <c r="F48" i="31"/>
  <c r="E48" i="31"/>
  <c r="D48" i="31"/>
  <c r="F47" i="31"/>
  <c r="E47" i="31"/>
  <c r="D47" i="31"/>
  <c r="F46" i="31"/>
  <c r="E46" i="31"/>
  <c r="D46" i="31"/>
  <c r="F45" i="31"/>
  <c r="E45" i="31"/>
  <c r="D45" i="31"/>
  <c r="F44" i="31"/>
  <c r="E44" i="31"/>
  <c r="D44" i="31"/>
  <c r="F43" i="31"/>
  <c r="E43" i="31"/>
  <c r="D43" i="31"/>
  <c r="F42" i="31"/>
  <c r="E42" i="31"/>
  <c r="D42" i="31"/>
  <c r="F41" i="31"/>
  <c r="E41" i="31"/>
  <c r="D41" i="31"/>
  <c r="F40" i="31"/>
  <c r="E40" i="31"/>
  <c r="D40" i="31"/>
  <c r="F39" i="31"/>
  <c r="E39" i="31"/>
  <c r="D39" i="31"/>
  <c r="F38" i="31"/>
  <c r="E38" i="31"/>
  <c r="D38" i="31"/>
  <c r="F37" i="31"/>
  <c r="E37" i="31"/>
  <c r="D37" i="31"/>
  <c r="F36" i="31"/>
  <c r="E36" i="31"/>
  <c r="D36" i="31"/>
  <c r="F35" i="31"/>
  <c r="E35" i="31"/>
  <c r="D35" i="31"/>
  <c r="F34" i="31"/>
  <c r="E34" i="31"/>
  <c r="D34" i="31"/>
  <c r="F33" i="31"/>
  <c r="E33" i="31"/>
  <c r="D33" i="31"/>
  <c r="F32" i="31"/>
  <c r="E32" i="31"/>
  <c r="D32" i="31"/>
  <c r="F31" i="31"/>
  <c r="E31" i="31"/>
  <c r="D31" i="31"/>
  <c r="F30" i="31"/>
  <c r="E30" i="31"/>
  <c r="D30" i="31"/>
  <c r="F29" i="31"/>
  <c r="E29" i="31"/>
  <c r="D29" i="31"/>
  <c r="F28" i="31"/>
  <c r="E28" i="31"/>
  <c r="D28" i="31"/>
  <c r="F27" i="31"/>
  <c r="E27" i="31"/>
  <c r="D27" i="31"/>
  <c r="F26" i="31"/>
  <c r="E26" i="31"/>
  <c r="D26" i="31"/>
  <c r="F25" i="31"/>
  <c r="E25" i="31"/>
  <c r="D25" i="31"/>
  <c r="F24" i="31"/>
  <c r="E24" i="31"/>
  <c r="D24" i="31"/>
  <c r="F23" i="31"/>
  <c r="E23" i="31"/>
  <c r="D23" i="31"/>
  <c r="F22" i="31"/>
  <c r="E22" i="31"/>
  <c r="D22" i="31"/>
  <c r="F21" i="31"/>
  <c r="E21" i="31"/>
  <c r="D21" i="31"/>
  <c r="F20" i="31"/>
  <c r="E20" i="31"/>
  <c r="D20" i="31"/>
  <c r="F19" i="31"/>
  <c r="E19" i="31"/>
  <c r="D19" i="31"/>
  <c r="F18" i="31"/>
  <c r="E18" i="31"/>
  <c r="D18" i="31"/>
  <c r="F16" i="31"/>
  <c r="E16" i="31"/>
  <c r="D16" i="31"/>
  <c r="F15" i="31"/>
  <c r="E15" i="31"/>
  <c r="D15" i="31"/>
  <c r="F14" i="31"/>
  <c r="E14" i="31"/>
  <c r="D14" i="31"/>
  <c r="F13" i="31"/>
  <c r="E13" i="31"/>
  <c r="F12" i="31"/>
  <c r="E12" i="31"/>
  <c r="F11" i="31"/>
  <c r="E11" i="31"/>
  <c r="F2" i="31"/>
  <c r="L2" i="31"/>
  <c r="E2" i="31"/>
  <c r="K2" i="31"/>
  <c r="D2" i="31"/>
  <c r="J2" i="31"/>
  <c r="K19" i="30"/>
  <c r="J19" i="30"/>
  <c r="I19" i="30"/>
  <c r="K18" i="30"/>
  <c r="J18" i="30"/>
  <c r="I18" i="30"/>
  <c r="K17" i="30"/>
  <c r="J17" i="30"/>
  <c r="I17" i="30"/>
  <c r="K16" i="30"/>
  <c r="J16" i="30"/>
  <c r="I16" i="30"/>
  <c r="K15" i="30"/>
  <c r="J15" i="30"/>
  <c r="I15" i="30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K6" i="30"/>
  <c r="J6" i="30"/>
  <c r="I6" i="30"/>
  <c r="K5" i="30"/>
  <c r="J5" i="30"/>
  <c r="I5" i="30"/>
  <c r="K4" i="30"/>
  <c r="J4" i="30"/>
  <c r="I4" i="30"/>
  <c r="K3" i="30"/>
  <c r="J3" i="30"/>
  <c r="I3" i="30"/>
  <c r="K2" i="30"/>
  <c r="F9" i="31"/>
  <c r="J2" i="30"/>
  <c r="E9" i="31"/>
  <c r="I2" i="30"/>
  <c r="R2" i="11"/>
  <c r="AK2" i="11"/>
  <c r="Q2" i="11"/>
  <c r="AJ2" i="11"/>
  <c r="P2" i="11"/>
  <c r="AI2" i="11"/>
  <c r="O2" i="11"/>
  <c r="AH2" i="11"/>
  <c r="N2" i="11"/>
  <c r="AG2" i="11"/>
  <c r="M2" i="11"/>
  <c r="AF2" i="11"/>
  <c r="L2" i="11"/>
  <c r="AE2" i="11"/>
  <c r="K2" i="11"/>
  <c r="AD2" i="11"/>
  <c r="J2" i="11"/>
  <c r="AC2" i="11"/>
  <c r="I2" i="11"/>
  <c r="AB2" i="11"/>
  <c r="H2" i="11"/>
  <c r="AA2" i="11"/>
  <c r="G2" i="11"/>
  <c r="Z2" i="11"/>
  <c r="F2" i="11"/>
  <c r="Y2" i="11"/>
  <c r="E2" i="11"/>
  <c r="X2" i="11"/>
  <c r="D2" i="11"/>
  <c r="W2" i="11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AM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D4" i="11"/>
  <c r="U60" i="9"/>
  <c r="AA60" i="9" s="1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U59" i="9"/>
  <c r="U58" i="9"/>
  <c r="AB58" i="9" s="1"/>
  <c r="U57" i="9"/>
  <c r="U56" i="9"/>
  <c r="AB56" i="9" s="1"/>
  <c r="U55" i="9"/>
  <c r="U54" i="9"/>
  <c r="U53" i="9"/>
  <c r="U52" i="9"/>
  <c r="Z52" i="9" s="1"/>
  <c r="U51" i="9"/>
  <c r="U50" i="9"/>
  <c r="U49" i="9"/>
  <c r="AC49" i="9" s="1"/>
  <c r="U48" i="9"/>
  <c r="U47" i="9"/>
  <c r="U46" i="9"/>
  <c r="AB46" i="9" s="1"/>
  <c r="U45" i="9"/>
  <c r="V45" i="11" s="1"/>
  <c r="U44" i="9"/>
  <c r="U43" i="9"/>
  <c r="U42" i="9"/>
  <c r="AB42" i="9" s="1"/>
  <c r="U41" i="9"/>
  <c r="V41" i="11" s="1"/>
  <c r="U40" i="9"/>
  <c r="U39" i="9"/>
  <c r="V39" i="11" s="1"/>
  <c r="U38" i="9"/>
  <c r="AE38" i="9" s="1"/>
  <c r="U37" i="9"/>
  <c r="U36" i="9"/>
  <c r="V36" i="11" s="1"/>
  <c r="U35" i="9"/>
  <c r="U34" i="9"/>
  <c r="U33" i="9"/>
  <c r="I33" i="31"/>
  <c r="U32" i="9"/>
  <c r="U31" i="9"/>
  <c r="U30" i="9"/>
  <c r="U29" i="9"/>
  <c r="AJ29" i="9" s="1"/>
  <c r="U28" i="9"/>
  <c r="U27" i="9"/>
  <c r="U26" i="9"/>
  <c r="U25" i="9"/>
  <c r="U24" i="9"/>
  <c r="U23" i="9"/>
  <c r="U22" i="9"/>
  <c r="U21" i="9"/>
  <c r="U20" i="9"/>
  <c r="AF20" i="9" s="1"/>
  <c r="U19" i="9"/>
  <c r="Z19" i="9" s="1"/>
  <c r="U18" i="9"/>
  <c r="U17" i="9"/>
  <c r="U16" i="9"/>
  <c r="U15" i="9"/>
  <c r="AG15" i="9"/>
  <c r="U14" i="9"/>
  <c r="U13" i="9"/>
  <c r="U12" i="9"/>
  <c r="AI12" i="9"/>
  <c r="U11" i="9"/>
  <c r="U10" i="9"/>
  <c r="U9" i="9"/>
  <c r="U8" i="9"/>
  <c r="U7" i="9"/>
  <c r="U6" i="9"/>
  <c r="AK6" i="9"/>
  <c r="U5" i="9"/>
  <c r="U4" i="9"/>
  <c r="U3" i="9"/>
  <c r="AB3" i="9"/>
  <c r="S2" i="9"/>
  <c r="AK2" i="9"/>
  <c r="R2" i="9"/>
  <c r="AJ2" i="9"/>
  <c r="Q2" i="9"/>
  <c r="AI2" i="9"/>
  <c r="P2" i="9"/>
  <c r="AH2" i="9"/>
  <c r="O2" i="9"/>
  <c r="AG2" i="9"/>
  <c r="N2" i="9"/>
  <c r="AF2" i="9"/>
  <c r="M2" i="9"/>
  <c r="AE2" i="9"/>
  <c r="L2" i="9"/>
  <c r="AD2" i="9"/>
  <c r="K2" i="9"/>
  <c r="AC2" i="9"/>
  <c r="J2" i="9"/>
  <c r="AB2" i="9"/>
  <c r="I2" i="9"/>
  <c r="AA2" i="9"/>
  <c r="H2" i="9"/>
  <c r="Z2" i="9"/>
  <c r="G2" i="9"/>
  <c r="Y2" i="9"/>
  <c r="F2" i="9"/>
  <c r="X2" i="9"/>
  <c r="E2" i="9"/>
  <c r="W2" i="9"/>
  <c r="D2" i="9"/>
  <c r="V2" i="9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AJ12" i="8"/>
  <c r="S69" i="9"/>
  <c r="AI12" i="8"/>
  <c r="R69" i="9"/>
  <c r="AH12" i="8"/>
  <c r="Q69" i="9"/>
  <c r="AG12" i="8"/>
  <c r="P69" i="9"/>
  <c r="AF12" i="8"/>
  <c r="O69" i="9"/>
  <c r="AE12" i="8"/>
  <c r="N69" i="9"/>
  <c r="AD12" i="8"/>
  <c r="M69" i="9"/>
  <c r="AC12" i="8"/>
  <c r="L69" i="9"/>
  <c r="AB12" i="8"/>
  <c r="K69" i="9"/>
  <c r="AA12" i="8"/>
  <c r="J69" i="9"/>
  <c r="Z12" i="8"/>
  <c r="I69" i="9"/>
  <c r="Y12" i="8"/>
  <c r="H69" i="9"/>
  <c r="X12" i="8"/>
  <c r="G69" i="9"/>
  <c r="W12" i="8"/>
  <c r="F69" i="9"/>
  <c r="V12" i="8"/>
  <c r="E69" i="9"/>
  <c r="U12" i="8"/>
  <c r="D69" i="9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AJ4" i="8"/>
  <c r="AI4" i="8"/>
  <c r="AH4" i="8"/>
  <c r="AG4" i="8"/>
  <c r="AF4" i="8"/>
  <c r="AE4" i="8"/>
  <c r="AD4" i="8"/>
  <c r="AC4" i="8"/>
  <c r="AB4" i="8"/>
  <c r="AA4" i="8"/>
  <c r="Y4" i="8"/>
  <c r="X4" i="8"/>
  <c r="W4" i="8"/>
  <c r="V4" i="8"/>
  <c r="U4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BW4" i="100"/>
  <c r="BV4" i="100"/>
  <c r="BU4" i="100"/>
  <c r="BT4" i="100"/>
  <c r="BS4" i="100"/>
  <c r="BR4" i="100"/>
  <c r="BQ4" i="100"/>
  <c r="BP4" i="100"/>
  <c r="BO4" i="100"/>
  <c r="BN4" i="100"/>
  <c r="BM4" i="100"/>
  <c r="BL4" i="100"/>
  <c r="BK4" i="100"/>
  <c r="BJ4" i="100"/>
  <c r="BH4" i="100"/>
  <c r="BG4" i="100"/>
  <c r="BF4" i="100"/>
  <c r="BE4" i="100"/>
  <c r="BC4" i="100"/>
  <c r="BB4" i="100"/>
  <c r="BA4" i="100"/>
  <c r="AZ4" i="100"/>
  <c r="AY4" i="100"/>
  <c r="AX4" i="100"/>
  <c r="AW4" i="100"/>
  <c r="AV4" i="100"/>
  <c r="AU4" i="100"/>
  <c r="AT4" i="100"/>
  <c r="AS4" i="100"/>
  <c r="AR4" i="100"/>
  <c r="AQ4" i="100"/>
  <c r="AO4" i="100"/>
  <c r="AN4" i="100"/>
  <c r="AM4" i="100"/>
  <c r="AL4" i="100"/>
  <c r="AJ4" i="100"/>
  <c r="AI4" i="100"/>
  <c r="AH4" i="100"/>
  <c r="AG4" i="100"/>
  <c r="AF4" i="100"/>
  <c r="AE4" i="100"/>
  <c r="AD4" i="100"/>
  <c r="AC4" i="100"/>
  <c r="AB4" i="100"/>
  <c r="AA4" i="100"/>
  <c r="Z4" i="100"/>
  <c r="Y4" i="100"/>
  <c r="X4" i="100"/>
  <c r="W4" i="100"/>
  <c r="V4" i="100"/>
  <c r="T4" i="100"/>
  <c r="S4" i="100"/>
  <c r="R4" i="100"/>
  <c r="Q4" i="100"/>
  <c r="P4" i="100"/>
  <c r="O4" i="100"/>
  <c r="N4" i="100"/>
  <c r="M4" i="100"/>
  <c r="L4" i="100"/>
  <c r="K4" i="100"/>
  <c r="J4" i="100"/>
  <c r="I4" i="100"/>
  <c r="H4" i="100"/>
  <c r="G4" i="100"/>
  <c r="F4" i="100"/>
  <c r="E4" i="100"/>
  <c r="BW4" i="101"/>
  <c r="BV4" i="101"/>
  <c r="BU4" i="101"/>
  <c r="BT4" i="101"/>
  <c r="BS4" i="101"/>
  <c r="BR4" i="101"/>
  <c r="BQ4" i="101"/>
  <c r="BP4" i="101"/>
  <c r="BO4" i="101"/>
  <c r="BN4" i="101"/>
  <c r="BM4" i="101"/>
  <c r="BL4" i="101"/>
  <c r="BK4" i="101"/>
  <c r="BJ4" i="101"/>
  <c r="BH4" i="101"/>
  <c r="BG4" i="101"/>
  <c r="BF4" i="101"/>
  <c r="BE4" i="101"/>
  <c r="BC4" i="101"/>
  <c r="BB4" i="101"/>
  <c r="BA4" i="101"/>
  <c r="AZ4" i="101"/>
  <c r="AY4" i="101"/>
  <c r="AX4" i="101"/>
  <c r="AW4" i="101"/>
  <c r="AV4" i="101"/>
  <c r="AU4" i="101"/>
  <c r="AT4" i="101"/>
  <c r="AS4" i="101"/>
  <c r="AR4" i="101"/>
  <c r="AQ4" i="101"/>
  <c r="AO4" i="101"/>
  <c r="AN4" i="101"/>
  <c r="AM4" i="101"/>
  <c r="AL4" i="101"/>
  <c r="AJ4" i="101"/>
  <c r="AI4" i="101"/>
  <c r="AH4" i="101"/>
  <c r="AG4" i="101"/>
  <c r="AF4" i="101"/>
  <c r="AE4" i="101"/>
  <c r="AD4" i="101"/>
  <c r="AC4" i="101"/>
  <c r="AB4" i="101"/>
  <c r="AA4" i="101"/>
  <c r="Z4" i="101"/>
  <c r="Y4" i="101"/>
  <c r="X4" i="101"/>
  <c r="W4" i="101"/>
  <c r="V4" i="101"/>
  <c r="T4" i="101"/>
  <c r="S4" i="101"/>
  <c r="R4" i="101"/>
  <c r="Q4" i="101"/>
  <c r="P4" i="101"/>
  <c r="O4" i="101"/>
  <c r="N4" i="101"/>
  <c r="M4" i="101"/>
  <c r="L4" i="101"/>
  <c r="K4" i="101"/>
  <c r="J4" i="101"/>
  <c r="I4" i="101"/>
  <c r="H4" i="101"/>
  <c r="G4" i="101"/>
  <c r="F4" i="101"/>
  <c r="E4" i="101"/>
  <c r="BW4" i="99"/>
  <c r="BV4" i="99"/>
  <c r="BU4" i="99"/>
  <c r="BT4" i="99"/>
  <c r="BS4" i="99"/>
  <c r="BR4" i="99"/>
  <c r="BQ4" i="99"/>
  <c r="BP4" i="99"/>
  <c r="BO4" i="99"/>
  <c r="BN4" i="99"/>
  <c r="BM4" i="99"/>
  <c r="BL4" i="99"/>
  <c r="BK4" i="99"/>
  <c r="BJ4" i="99"/>
  <c r="BH4" i="99"/>
  <c r="BG4" i="99"/>
  <c r="BF4" i="99"/>
  <c r="BE4" i="99"/>
  <c r="BC4" i="99"/>
  <c r="BB4" i="99"/>
  <c r="BA4" i="99"/>
  <c r="AZ4" i="99"/>
  <c r="AY4" i="99"/>
  <c r="AX4" i="99"/>
  <c r="AW4" i="99"/>
  <c r="AV4" i="99"/>
  <c r="AU4" i="99"/>
  <c r="AT4" i="99"/>
  <c r="AS4" i="99"/>
  <c r="AR4" i="99"/>
  <c r="AQ4" i="99"/>
  <c r="AO4" i="99"/>
  <c r="AN4" i="99"/>
  <c r="AM4" i="99"/>
  <c r="AL4" i="99"/>
  <c r="AJ4" i="99"/>
  <c r="AI4" i="99"/>
  <c r="AH4" i="99"/>
  <c r="AG4" i="99"/>
  <c r="AF4" i="99"/>
  <c r="AE4" i="99"/>
  <c r="AD4" i="99"/>
  <c r="AC4" i="99"/>
  <c r="AB4" i="99"/>
  <c r="AA4" i="99"/>
  <c r="Z4" i="99"/>
  <c r="Y4" i="99"/>
  <c r="X4" i="99"/>
  <c r="W4" i="99"/>
  <c r="V4" i="99"/>
  <c r="T4" i="99"/>
  <c r="S4" i="99"/>
  <c r="R4" i="99"/>
  <c r="Q4" i="99"/>
  <c r="P4" i="99"/>
  <c r="O4" i="99"/>
  <c r="N4" i="99"/>
  <c r="M4" i="99"/>
  <c r="L4" i="99"/>
  <c r="K4" i="99"/>
  <c r="J4" i="99"/>
  <c r="I4" i="99"/>
  <c r="H4" i="99"/>
  <c r="G4" i="99"/>
  <c r="F4" i="99"/>
  <c r="E4" i="99"/>
  <c r="BW4" i="98"/>
  <c r="BV4" i="98"/>
  <c r="BU4" i="98"/>
  <c r="BT4" i="98"/>
  <c r="BS4" i="98"/>
  <c r="BR4" i="98"/>
  <c r="BQ4" i="98"/>
  <c r="BP4" i="98"/>
  <c r="BO4" i="98"/>
  <c r="BN4" i="98"/>
  <c r="BM4" i="98"/>
  <c r="BL4" i="98"/>
  <c r="BK4" i="98"/>
  <c r="BJ4" i="98"/>
  <c r="BH4" i="98"/>
  <c r="BG4" i="98"/>
  <c r="BF4" i="98"/>
  <c r="BE4" i="98"/>
  <c r="BC4" i="98"/>
  <c r="BB4" i="98"/>
  <c r="BA4" i="98"/>
  <c r="AZ4" i="98"/>
  <c r="AY4" i="98"/>
  <c r="AX4" i="98"/>
  <c r="AW4" i="98"/>
  <c r="AV4" i="98"/>
  <c r="AU4" i="98"/>
  <c r="AT4" i="98"/>
  <c r="AS4" i="98"/>
  <c r="AR4" i="98"/>
  <c r="AQ4" i="98"/>
  <c r="AO4" i="98"/>
  <c r="AN4" i="98"/>
  <c r="AM4" i="98"/>
  <c r="AL4" i="98"/>
  <c r="AJ4" i="98"/>
  <c r="AI4" i="98"/>
  <c r="AH4" i="98"/>
  <c r="AG4" i="98"/>
  <c r="AF4" i="98"/>
  <c r="AE4" i="98"/>
  <c r="AD4" i="98"/>
  <c r="AC4" i="98"/>
  <c r="AB4" i="98"/>
  <c r="AA4" i="98"/>
  <c r="Z4" i="98"/>
  <c r="Y4" i="98"/>
  <c r="X4" i="98"/>
  <c r="W4" i="98"/>
  <c r="V4" i="98"/>
  <c r="T4" i="98"/>
  <c r="S4" i="98"/>
  <c r="R4" i="98"/>
  <c r="Q4" i="98"/>
  <c r="P4" i="98"/>
  <c r="O4" i="98"/>
  <c r="N4" i="98"/>
  <c r="M4" i="98"/>
  <c r="L4" i="98"/>
  <c r="K4" i="98"/>
  <c r="J4" i="98"/>
  <c r="I4" i="98"/>
  <c r="H4" i="98"/>
  <c r="G4" i="98"/>
  <c r="F4" i="98"/>
  <c r="E4" i="98"/>
  <c r="BW4" i="97"/>
  <c r="BV4" i="97"/>
  <c r="BU4" i="97"/>
  <c r="BT4" i="97"/>
  <c r="BS4" i="97"/>
  <c r="BR4" i="97"/>
  <c r="BQ4" i="97"/>
  <c r="BP4" i="97"/>
  <c r="BO4" i="97"/>
  <c r="BN4" i="97"/>
  <c r="BM4" i="97"/>
  <c r="BL4" i="97"/>
  <c r="BK4" i="97"/>
  <c r="BJ4" i="97"/>
  <c r="BH4" i="97"/>
  <c r="BG4" i="97"/>
  <c r="BF4" i="97"/>
  <c r="BE4" i="97"/>
  <c r="BC4" i="97"/>
  <c r="BB4" i="97"/>
  <c r="BA4" i="97"/>
  <c r="AZ4" i="97"/>
  <c r="AY4" i="97"/>
  <c r="AX4" i="97"/>
  <c r="AW4" i="97"/>
  <c r="AV4" i="97"/>
  <c r="AU4" i="97"/>
  <c r="AT4" i="97"/>
  <c r="AS4" i="97"/>
  <c r="AR4" i="97"/>
  <c r="AQ4" i="97"/>
  <c r="AO4" i="97"/>
  <c r="AN4" i="97"/>
  <c r="AM4" i="97"/>
  <c r="AL4" i="97"/>
  <c r="AJ4" i="97"/>
  <c r="AI4" i="97"/>
  <c r="AH4" i="97"/>
  <c r="AG4" i="97"/>
  <c r="AF4" i="97"/>
  <c r="AE4" i="97"/>
  <c r="AD4" i="97"/>
  <c r="AC4" i="97"/>
  <c r="AB4" i="97"/>
  <c r="AA4" i="97"/>
  <c r="Z4" i="97"/>
  <c r="Y4" i="97"/>
  <c r="X4" i="97"/>
  <c r="W4" i="97"/>
  <c r="V4" i="97"/>
  <c r="T4" i="97"/>
  <c r="S4" i="97"/>
  <c r="R4" i="97"/>
  <c r="Q4" i="97"/>
  <c r="P4" i="97"/>
  <c r="O4" i="97"/>
  <c r="N4" i="97"/>
  <c r="M4" i="97"/>
  <c r="L4" i="97"/>
  <c r="K4" i="97"/>
  <c r="J4" i="97"/>
  <c r="I4" i="97"/>
  <c r="H4" i="97"/>
  <c r="G4" i="97"/>
  <c r="F4" i="97"/>
  <c r="E4" i="97"/>
  <c r="BW4" i="96"/>
  <c r="BV4" i="96"/>
  <c r="BU4" i="96"/>
  <c r="BT4" i="96"/>
  <c r="BS4" i="96"/>
  <c r="BR4" i="96"/>
  <c r="BQ4" i="96"/>
  <c r="BP4" i="96"/>
  <c r="BO4" i="96"/>
  <c r="BN4" i="96"/>
  <c r="BM4" i="96"/>
  <c r="BL4" i="96"/>
  <c r="BK4" i="96"/>
  <c r="BJ4" i="96"/>
  <c r="BH4" i="96"/>
  <c r="BG4" i="96"/>
  <c r="BF4" i="96"/>
  <c r="BE4" i="96"/>
  <c r="BC4" i="96"/>
  <c r="BB4" i="96"/>
  <c r="BA4" i="96"/>
  <c r="AZ4" i="96"/>
  <c r="AY4" i="96"/>
  <c r="AX4" i="96"/>
  <c r="AW4" i="96"/>
  <c r="AV4" i="96"/>
  <c r="AU4" i="96"/>
  <c r="AT4" i="96"/>
  <c r="AS4" i="96"/>
  <c r="AR4" i="96"/>
  <c r="AQ4" i="96"/>
  <c r="AO4" i="96"/>
  <c r="AN4" i="96"/>
  <c r="AM4" i="96"/>
  <c r="AL4" i="96"/>
  <c r="AJ4" i="96"/>
  <c r="AI4" i="96"/>
  <c r="AH4" i="96"/>
  <c r="AG4" i="96"/>
  <c r="AF4" i="96"/>
  <c r="AE4" i="96"/>
  <c r="AD4" i="96"/>
  <c r="AC4" i="96"/>
  <c r="AB4" i="96"/>
  <c r="AA4" i="96"/>
  <c r="Z4" i="96"/>
  <c r="Y4" i="96"/>
  <c r="X4" i="96"/>
  <c r="W4" i="96"/>
  <c r="V4" i="96"/>
  <c r="T4" i="96"/>
  <c r="S4" i="96"/>
  <c r="R4" i="96"/>
  <c r="Q4" i="96"/>
  <c r="P4" i="96"/>
  <c r="O4" i="96"/>
  <c r="N4" i="96"/>
  <c r="M4" i="96"/>
  <c r="L4" i="96"/>
  <c r="K4" i="96"/>
  <c r="J4" i="96"/>
  <c r="I4" i="96"/>
  <c r="H4" i="96"/>
  <c r="G4" i="96"/>
  <c r="F4" i="96"/>
  <c r="E4" i="96"/>
  <c r="BW4" i="95"/>
  <c r="BV4" i="95"/>
  <c r="BU4" i="95"/>
  <c r="BT4" i="95"/>
  <c r="BS4" i="95"/>
  <c r="BR4" i="95"/>
  <c r="BQ4" i="95"/>
  <c r="BP4" i="95"/>
  <c r="BO4" i="95"/>
  <c r="BN4" i="95"/>
  <c r="BM4" i="95"/>
  <c r="BL4" i="95"/>
  <c r="BK4" i="95"/>
  <c r="BJ4" i="95"/>
  <c r="BH4" i="95"/>
  <c r="BG4" i="95"/>
  <c r="BF4" i="95"/>
  <c r="BE4" i="95"/>
  <c r="BC4" i="95"/>
  <c r="BB4" i="95"/>
  <c r="BA4" i="95"/>
  <c r="AZ4" i="95"/>
  <c r="AY4" i="95"/>
  <c r="AX4" i="95"/>
  <c r="AW4" i="95"/>
  <c r="AV4" i="95"/>
  <c r="AU4" i="95"/>
  <c r="AT4" i="95"/>
  <c r="AS4" i="95"/>
  <c r="AR4" i="95"/>
  <c r="AQ4" i="95"/>
  <c r="AO4" i="95"/>
  <c r="AN4" i="95"/>
  <c r="AM4" i="95"/>
  <c r="AL4" i="95"/>
  <c r="AJ4" i="95"/>
  <c r="AI4" i="95"/>
  <c r="AH4" i="95"/>
  <c r="AG4" i="95"/>
  <c r="AF4" i="95"/>
  <c r="AE4" i="95"/>
  <c r="AD4" i="95"/>
  <c r="AC4" i="95"/>
  <c r="AB4" i="95"/>
  <c r="AA4" i="95"/>
  <c r="Z4" i="95"/>
  <c r="Y4" i="95"/>
  <c r="X4" i="95"/>
  <c r="W4" i="95"/>
  <c r="V4" i="95"/>
  <c r="T4" i="95"/>
  <c r="S4" i="95"/>
  <c r="R4" i="95"/>
  <c r="Q4" i="95"/>
  <c r="P4" i="95"/>
  <c r="O4" i="95"/>
  <c r="N4" i="95"/>
  <c r="M4" i="95"/>
  <c r="L4" i="95"/>
  <c r="K4" i="95"/>
  <c r="J4" i="95"/>
  <c r="I4" i="95"/>
  <c r="H4" i="95"/>
  <c r="G4" i="95"/>
  <c r="F4" i="95"/>
  <c r="E4" i="95"/>
  <c r="BW4" i="94"/>
  <c r="BV4" i="94"/>
  <c r="BU4" i="94"/>
  <c r="BT4" i="94"/>
  <c r="BS4" i="94"/>
  <c r="BR4" i="94"/>
  <c r="BQ4" i="94"/>
  <c r="BP4" i="94"/>
  <c r="BO4" i="94"/>
  <c r="BN4" i="94"/>
  <c r="BM4" i="94"/>
  <c r="BL4" i="94"/>
  <c r="BK4" i="94"/>
  <c r="BJ4" i="94"/>
  <c r="BH4" i="94"/>
  <c r="BG4" i="94"/>
  <c r="BF4" i="94"/>
  <c r="BE4" i="94"/>
  <c r="BC4" i="94"/>
  <c r="BB4" i="94"/>
  <c r="BA4" i="94"/>
  <c r="AZ4" i="94"/>
  <c r="AY4" i="94"/>
  <c r="AX4" i="94"/>
  <c r="AW4" i="94"/>
  <c r="AV4" i="94"/>
  <c r="AU4" i="94"/>
  <c r="AT4" i="94"/>
  <c r="AS4" i="94"/>
  <c r="AR4" i="94"/>
  <c r="AQ4" i="94"/>
  <c r="AO4" i="94"/>
  <c r="AN4" i="94"/>
  <c r="AM4" i="94"/>
  <c r="AL4" i="94"/>
  <c r="AJ4" i="94"/>
  <c r="AI4" i="94"/>
  <c r="AH4" i="94"/>
  <c r="AG4" i="94"/>
  <c r="AF4" i="94"/>
  <c r="AE4" i="94"/>
  <c r="AD4" i="94"/>
  <c r="AC4" i="94"/>
  <c r="AB4" i="94"/>
  <c r="AA4" i="94"/>
  <c r="Z4" i="94"/>
  <c r="Y4" i="94"/>
  <c r="X4" i="94"/>
  <c r="W4" i="94"/>
  <c r="V4" i="94"/>
  <c r="T4" i="94"/>
  <c r="S4" i="94"/>
  <c r="R4" i="94"/>
  <c r="Q4" i="94"/>
  <c r="P4" i="94"/>
  <c r="O4" i="94"/>
  <c r="N4" i="94"/>
  <c r="M4" i="94"/>
  <c r="L4" i="94"/>
  <c r="K4" i="94"/>
  <c r="J4" i="94"/>
  <c r="I4" i="94"/>
  <c r="H4" i="94"/>
  <c r="G4" i="94"/>
  <c r="F4" i="94"/>
  <c r="E4" i="94"/>
  <c r="BW4" i="93"/>
  <c r="BV4" i="93"/>
  <c r="BU4" i="93"/>
  <c r="BT4" i="93"/>
  <c r="BS4" i="93"/>
  <c r="BR4" i="93"/>
  <c r="BQ4" i="93"/>
  <c r="BP4" i="93"/>
  <c r="BO4" i="93"/>
  <c r="BN4" i="93"/>
  <c r="BM4" i="93"/>
  <c r="BL4" i="93"/>
  <c r="BK4" i="93"/>
  <c r="BJ4" i="93"/>
  <c r="BH4" i="93"/>
  <c r="BG4" i="93"/>
  <c r="BF4" i="93"/>
  <c r="BE4" i="93"/>
  <c r="BC4" i="93"/>
  <c r="BB4" i="93"/>
  <c r="BA4" i="93"/>
  <c r="AZ4" i="93"/>
  <c r="AY4" i="93"/>
  <c r="AX4" i="93"/>
  <c r="AW4" i="93"/>
  <c r="AV4" i="93"/>
  <c r="AU4" i="93"/>
  <c r="AT4" i="93"/>
  <c r="AS4" i="93"/>
  <c r="AR4" i="93"/>
  <c r="AQ4" i="93"/>
  <c r="AO4" i="93"/>
  <c r="AN4" i="93"/>
  <c r="AM4" i="93"/>
  <c r="AL4" i="93"/>
  <c r="AJ4" i="93"/>
  <c r="AI4" i="93"/>
  <c r="AH4" i="93"/>
  <c r="AG4" i="93"/>
  <c r="AF4" i="93"/>
  <c r="AE4" i="93"/>
  <c r="AD4" i="93"/>
  <c r="AC4" i="93"/>
  <c r="AB4" i="93"/>
  <c r="AA4" i="93"/>
  <c r="Z4" i="93"/>
  <c r="Y4" i="93"/>
  <c r="X4" i="93"/>
  <c r="W4" i="93"/>
  <c r="V4" i="93"/>
  <c r="T4" i="93"/>
  <c r="S4" i="93"/>
  <c r="R4" i="93"/>
  <c r="Q4" i="93"/>
  <c r="P4" i="93"/>
  <c r="O4" i="93"/>
  <c r="N4" i="93"/>
  <c r="M4" i="93"/>
  <c r="L4" i="93"/>
  <c r="K4" i="93"/>
  <c r="J4" i="93"/>
  <c r="I4" i="93"/>
  <c r="H4" i="93"/>
  <c r="G4" i="93"/>
  <c r="F4" i="93"/>
  <c r="E4" i="93"/>
  <c r="BW4" i="92"/>
  <c r="BV4" i="92"/>
  <c r="BU4" i="92"/>
  <c r="BT4" i="92"/>
  <c r="BS4" i="92"/>
  <c r="BR4" i="92"/>
  <c r="BQ4" i="92"/>
  <c r="BP4" i="92"/>
  <c r="BO4" i="92"/>
  <c r="BN4" i="92"/>
  <c r="BM4" i="92"/>
  <c r="BL4" i="92"/>
  <c r="BK4" i="92"/>
  <c r="BJ4" i="92"/>
  <c r="BH4" i="92"/>
  <c r="BG4" i="92"/>
  <c r="BF4" i="92"/>
  <c r="BE4" i="92"/>
  <c r="BC4" i="92"/>
  <c r="BB4" i="92"/>
  <c r="BA4" i="92"/>
  <c r="AZ4" i="92"/>
  <c r="AY4" i="92"/>
  <c r="AX4" i="92"/>
  <c r="AW4" i="92"/>
  <c r="AV4" i="92"/>
  <c r="AU4" i="92"/>
  <c r="AT4" i="92"/>
  <c r="AS4" i="92"/>
  <c r="AR4" i="92"/>
  <c r="AQ4" i="92"/>
  <c r="AO4" i="92"/>
  <c r="AN4" i="92"/>
  <c r="AM4" i="92"/>
  <c r="AL4" i="92"/>
  <c r="AJ4" i="92"/>
  <c r="AI4" i="92"/>
  <c r="AH4" i="92"/>
  <c r="AG4" i="92"/>
  <c r="AF4" i="92"/>
  <c r="AE4" i="92"/>
  <c r="AD4" i="92"/>
  <c r="AC4" i="92"/>
  <c r="AB4" i="92"/>
  <c r="AA4" i="92"/>
  <c r="Z4" i="92"/>
  <c r="Y4" i="92"/>
  <c r="X4" i="92"/>
  <c r="W4" i="92"/>
  <c r="V4" i="92"/>
  <c r="T4" i="92"/>
  <c r="S4" i="92"/>
  <c r="R4" i="92"/>
  <c r="Q4" i="92"/>
  <c r="P4" i="92"/>
  <c r="O4" i="92"/>
  <c r="N4" i="92"/>
  <c r="M4" i="92"/>
  <c r="L4" i="92"/>
  <c r="K4" i="92"/>
  <c r="J4" i="92"/>
  <c r="I4" i="92"/>
  <c r="H4" i="92"/>
  <c r="G4" i="92"/>
  <c r="F4" i="92"/>
  <c r="E4" i="92"/>
  <c r="BW4" i="91"/>
  <c r="BV4" i="91"/>
  <c r="BU4" i="91"/>
  <c r="BT4" i="91"/>
  <c r="BS4" i="91"/>
  <c r="BR4" i="91"/>
  <c r="BQ4" i="91"/>
  <c r="BP4" i="91"/>
  <c r="BO4" i="91"/>
  <c r="BN4" i="91"/>
  <c r="BM4" i="91"/>
  <c r="BL4" i="91"/>
  <c r="BK4" i="91"/>
  <c r="BJ4" i="91"/>
  <c r="BH4" i="91"/>
  <c r="BG4" i="91"/>
  <c r="BF4" i="91"/>
  <c r="BE4" i="91"/>
  <c r="BC4" i="91"/>
  <c r="BB4" i="91"/>
  <c r="BA4" i="91"/>
  <c r="AZ4" i="91"/>
  <c r="AY4" i="91"/>
  <c r="AX4" i="91"/>
  <c r="AW4" i="91"/>
  <c r="AV4" i="91"/>
  <c r="AU4" i="91"/>
  <c r="AT4" i="91"/>
  <c r="AS4" i="91"/>
  <c r="AR4" i="91"/>
  <c r="AQ4" i="91"/>
  <c r="AO4" i="91"/>
  <c r="AN4" i="91"/>
  <c r="AM4" i="91"/>
  <c r="AL4" i="91"/>
  <c r="AJ4" i="91"/>
  <c r="AI4" i="91"/>
  <c r="AH4" i="91"/>
  <c r="AG4" i="91"/>
  <c r="AF4" i="91"/>
  <c r="AE4" i="91"/>
  <c r="AD4" i="91"/>
  <c r="AC4" i="91"/>
  <c r="AB4" i="91"/>
  <c r="AA4" i="91"/>
  <c r="Z4" i="91"/>
  <c r="Y4" i="91"/>
  <c r="X4" i="91"/>
  <c r="W4" i="91"/>
  <c r="V4" i="91"/>
  <c r="T4" i="91"/>
  <c r="S4" i="91"/>
  <c r="R4" i="91"/>
  <c r="Q4" i="91"/>
  <c r="P4" i="91"/>
  <c r="O4" i="91"/>
  <c r="N4" i="91"/>
  <c r="M4" i="91"/>
  <c r="L4" i="91"/>
  <c r="K4" i="91"/>
  <c r="J4" i="91"/>
  <c r="I4" i="91"/>
  <c r="H4" i="91"/>
  <c r="G4" i="91"/>
  <c r="F4" i="91"/>
  <c r="E4" i="91"/>
  <c r="BW4" i="90"/>
  <c r="BV4" i="90"/>
  <c r="BU4" i="90"/>
  <c r="BT4" i="90"/>
  <c r="BS4" i="90"/>
  <c r="BR4" i="90"/>
  <c r="BQ4" i="90"/>
  <c r="BP4" i="90"/>
  <c r="BO4" i="90"/>
  <c r="BN4" i="90"/>
  <c r="BM4" i="90"/>
  <c r="BL4" i="90"/>
  <c r="BK4" i="90"/>
  <c r="BJ4" i="90"/>
  <c r="BH4" i="90"/>
  <c r="BG4" i="90"/>
  <c r="BF4" i="90"/>
  <c r="BE4" i="90"/>
  <c r="BC4" i="90"/>
  <c r="BB4" i="90"/>
  <c r="BA4" i="90"/>
  <c r="AZ4" i="90"/>
  <c r="AY4" i="90"/>
  <c r="AX4" i="90"/>
  <c r="AW4" i="90"/>
  <c r="AV4" i="90"/>
  <c r="AU4" i="90"/>
  <c r="AT4" i="90"/>
  <c r="AS4" i="90"/>
  <c r="AR4" i="90"/>
  <c r="AQ4" i="90"/>
  <c r="AO4" i="90"/>
  <c r="AN4" i="90"/>
  <c r="AM4" i="90"/>
  <c r="AL4" i="90"/>
  <c r="AJ4" i="90"/>
  <c r="AI4" i="90"/>
  <c r="AH4" i="90"/>
  <c r="AG4" i="90"/>
  <c r="AF4" i="90"/>
  <c r="AE4" i="90"/>
  <c r="AD4" i="90"/>
  <c r="AC4" i="90"/>
  <c r="AB4" i="90"/>
  <c r="AA4" i="90"/>
  <c r="Z4" i="90"/>
  <c r="Y4" i="90"/>
  <c r="X4" i="90"/>
  <c r="W4" i="90"/>
  <c r="V4" i="90"/>
  <c r="T4" i="90"/>
  <c r="S4" i="90"/>
  <c r="R4" i="90"/>
  <c r="Q4" i="90"/>
  <c r="P4" i="90"/>
  <c r="O4" i="90"/>
  <c r="N4" i="90"/>
  <c r="M4" i="90"/>
  <c r="L4" i="90"/>
  <c r="K4" i="90"/>
  <c r="J4" i="90"/>
  <c r="I4" i="90"/>
  <c r="H4" i="90"/>
  <c r="G4" i="90"/>
  <c r="F4" i="90"/>
  <c r="E4" i="90"/>
  <c r="BW4" i="89"/>
  <c r="BV4" i="89"/>
  <c r="BU4" i="89"/>
  <c r="BT4" i="89"/>
  <c r="BS4" i="89"/>
  <c r="BR4" i="89"/>
  <c r="BQ4" i="89"/>
  <c r="BP4" i="89"/>
  <c r="BO4" i="89"/>
  <c r="BN4" i="89"/>
  <c r="BM4" i="89"/>
  <c r="BL4" i="89"/>
  <c r="BK4" i="89"/>
  <c r="BJ4" i="89"/>
  <c r="BH4" i="89"/>
  <c r="BG4" i="89"/>
  <c r="BF4" i="89"/>
  <c r="BE4" i="89"/>
  <c r="BC4" i="89"/>
  <c r="BB4" i="89"/>
  <c r="BA4" i="89"/>
  <c r="AZ4" i="89"/>
  <c r="AY4" i="89"/>
  <c r="AX4" i="89"/>
  <c r="AW4" i="89"/>
  <c r="AV4" i="89"/>
  <c r="AU4" i="89"/>
  <c r="AT4" i="89"/>
  <c r="AS4" i="89"/>
  <c r="AR4" i="89"/>
  <c r="AQ4" i="89"/>
  <c r="AO4" i="89"/>
  <c r="AN4" i="89"/>
  <c r="AM4" i="89"/>
  <c r="AL4" i="89"/>
  <c r="AJ4" i="89"/>
  <c r="AI4" i="89"/>
  <c r="AH4" i="89"/>
  <c r="AG4" i="89"/>
  <c r="AF4" i="89"/>
  <c r="AE4" i="89"/>
  <c r="AD4" i="89"/>
  <c r="AC4" i="89"/>
  <c r="AB4" i="89"/>
  <c r="AA4" i="89"/>
  <c r="Z4" i="89"/>
  <c r="Y4" i="89"/>
  <c r="X4" i="89"/>
  <c r="W4" i="89"/>
  <c r="V4" i="89"/>
  <c r="T4" i="89"/>
  <c r="S4" i="89"/>
  <c r="R4" i="89"/>
  <c r="Q4" i="89"/>
  <c r="P4" i="89"/>
  <c r="O4" i="89"/>
  <c r="N4" i="89"/>
  <c r="M4" i="89"/>
  <c r="L4" i="89"/>
  <c r="K4" i="89"/>
  <c r="J4" i="89"/>
  <c r="I4" i="89"/>
  <c r="H4" i="89"/>
  <c r="G4" i="89"/>
  <c r="F4" i="89"/>
  <c r="E4" i="89"/>
  <c r="BW4" i="88"/>
  <c r="BV4" i="88"/>
  <c r="BU4" i="88"/>
  <c r="BT4" i="88"/>
  <c r="BS4" i="88"/>
  <c r="BR4" i="88"/>
  <c r="BQ4" i="88"/>
  <c r="BP4" i="88"/>
  <c r="BO4" i="88"/>
  <c r="BN4" i="88"/>
  <c r="BM4" i="88"/>
  <c r="BL4" i="88"/>
  <c r="BK4" i="88"/>
  <c r="BJ4" i="88"/>
  <c r="BH4" i="88"/>
  <c r="BG4" i="88"/>
  <c r="BF4" i="88"/>
  <c r="BE4" i="88"/>
  <c r="BC4" i="88"/>
  <c r="BB4" i="88"/>
  <c r="BA4" i="88"/>
  <c r="AZ4" i="88"/>
  <c r="AY4" i="88"/>
  <c r="AX4" i="88"/>
  <c r="AW4" i="88"/>
  <c r="AV4" i="88"/>
  <c r="AU4" i="88"/>
  <c r="AT4" i="88"/>
  <c r="AS4" i="88"/>
  <c r="AR4" i="88"/>
  <c r="AQ4" i="88"/>
  <c r="AO4" i="88"/>
  <c r="AN4" i="88"/>
  <c r="AM4" i="88"/>
  <c r="AL4" i="88"/>
  <c r="AJ4" i="88"/>
  <c r="AI4" i="88"/>
  <c r="AH4" i="88"/>
  <c r="AG4" i="88"/>
  <c r="AF4" i="88"/>
  <c r="AE4" i="88"/>
  <c r="AD4" i="88"/>
  <c r="AC4" i="88"/>
  <c r="AB4" i="88"/>
  <c r="AA4" i="88"/>
  <c r="Z4" i="88"/>
  <c r="Y4" i="88"/>
  <c r="X4" i="88"/>
  <c r="W4" i="88"/>
  <c r="V4" i="88"/>
  <c r="T4" i="88"/>
  <c r="S4" i="88"/>
  <c r="R4" i="88"/>
  <c r="Q4" i="88"/>
  <c r="P4" i="88"/>
  <c r="O4" i="88"/>
  <c r="N4" i="88"/>
  <c r="M4" i="88"/>
  <c r="L4" i="88"/>
  <c r="K4" i="88"/>
  <c r="J4" i="88"/>
  <c r="I4" i="88"/>
  <c r="H4" i="88"/>
  <c r="G4" i="88"/>
  <c r="F4" i="88"/>
  <c r="E4" i="88"/>
  <c r="BW4" i="87"/>
  <c r="BV4" i="87"/>
  <c r="BU4" i="87"/>
  <c r="BT4" i="87"/>
  <c r="BS4" i="87"/>
  <c r="BR4" i="87"/>
  <c r="BQ4" i="87"/>
  <c r="BP4" i="87"/>
  <c r="BO4" i="87"/>
  <c r="BN4" i="87"/>
  <c r="BM4" i="87"/>
  <c r="BL4" i="87"/>
  <c r="BK4" i="87"/>
  <c r="BJ4" i="87"/>
  <c r="BH4" i="87"/>
  <c r="BG4" i="87"/>
  <c r="BF4" i="87"/>
  <c r="BE4" i="87"/>
  <c r="BC4" i="87"/>
  <c r="BB4" i="87"/>
  <c r="BA4" i="87"/>
  <c r="AZ4" i="87"/>
  <c r="AY4" i="87"/>
  <c r="AX4" i="87"/>
  <c r="AW4" i="87"/>
  <c r="AV4" i="87"/>
  <c r="AU4" i="87"/>
  <c r="AT4" i="87"/>
  <c r="AS4" i="87"/>
  <c r="AR4" i="87"/>
  <c r="AQ4" i="87"/>
  <c r="AO4" i="87"/>
  <c r="AN4" i="87"/>
  <c r="AM4" i="87"/>
  <c r="AL4" i="87"/>
  <c r="AJ4" i="87"/>
  <c r="AI4" i="87"/>
  <c r="AH4" i="87"/>
  <c r="AG4" i="87"/>
  <c r="AF4" i="87"/>
  <c r="AE4" i="87"/>
  <c r="AD4" i="87"/>
  <c r="AC4" i="87"/>
  <c r="AB4" i="87"/>
  <c r="AA4" i="87"/>
  <c r="Z4" i="87"/>
  <c r="Y4" i="87"/>
  <c r="X4" i="87"/>
  <c r="W4" i="87"/>
  <c r="V4" i="87"/>
  <c r="T4" i="87"/>
  <c r="S4" i="87"/>
  <c r="R4" i="87"/>
  <c r="Q4" i="87"/>
  <c r="P4" i="87"/>
  <c r="O4" i="87"/>
  <c r="N4" i="87"/>
  <c r="M4" i="87"/>
  <c r="L4" i="87"/>
  <c r="K4" i="87"/>
  <c r="J4" i="87"/>
  <c r="I4" i="87"/>
  <c r="H4" i="87"/>
  <c r="G4" i="87"/>
  <c r="F4" i="87"/>
  <c r="E4" i="87"/>
  <c r="BW4" i="86"/>
  <c r="BV4" i="86"/>
  <c r="BU4" i="86"/>
  <c r="BT4" i="86"/>
  <c r="BS4" i="86"/>
  <c r="BR4" i="86"/>
  <c r="BQ4" i="86"/>
  <c r="BP4" i="86"/>
  <c r="BO4" i="86"/>
  <c r="BN4" i="86"/>
  <c r="BM4" i="86"/>
  <c r="BL4" i="86"/>
  <c r="BK4" i="86"/>
  <c r="BJ4" i="86"/>
  <c r="BH4" i="86"/>
  <c r="BG4" i="86"/>
  <c r="BF4" i="86"/>
  <c r="BE4" i="86"/>
  <c r="BC4" i="86"/>
  <c r="BB4" i="86"/>
  <c r="BA4" i="86"/>
  <c r="AZ4" i="86"/>
  <c r="AY4" i="86"/>
  <c r="AX4" i="86"/>
  <c r="AW4" i="86"/>
  <c r="AV4" i="86"/>
  <c r="AU4" i="86"/>
  <c r="AT4" i="86"/>
  <c r="AS4" i="86"/>
  <c r="AR4" i="86"/>
  <c r="AQ4" i="86"/>
  <c r="AO4" i="86"/>
  <c r="AN4" i="86"/>
  <c r="AM4" i="86"/>
  <c r="AL4" i="86"/>
  <c r="AJ4" i="86"/>
  <c r="AI4" i="86"/>
  <c r="AH4" i="86"/>
  <c r="AG4" i="86"/>
  <c r="AF4" i="86"/>
  <c r="AE4" i="86"/>
  <c r="AD4" i="86"/>
  <c r="AC4" i="86"/>
  <c r="AB4" i="86"/>
  <c r="AA4" i="86"/>
  <c r="Z4" i="86"/>
  <c r="Y4" i="86"/>
  <c r="X4" i="86"/>
  <c r="W4" i="86"/>
  <c r="V4" i="86"/>
  <c r="T4" i="86"/>
  <c r="S4" i="86"/>
  <c r="R4" i="86"/>
  <c r="Q4" i="86"/>
  <c r="P4" i="86"/>
  <c r="O4" i="86"/>
  <c r="N4" i="86"/>
  <c r="M4" i="86"/>
  <c r="L4" i="86"/>
  <c r="K4" i="86"/>
  <c r="J4" i="86"/>
  <c r="I4" i="86"/>
  <c r="H4" i="86"/>
  <c r="G4" i="86"/>
  <c r="F4" i="86"/>
  <c r="E4" i="86"/>
  <c r="BW4" i="85"/>
  <c r="BV4" i="85"/>
  <c r="BU4" i="85"/>
  <c r="BT4" i="85"/>
  <c r="BS4" i="85"/>
  <c r="BR4" i="85"/>
  <c r="BQ4" i="85"/>
  <c r="BP4" i="85"/>
  <c r="BO4" i="85"/>
  <c r="BN4" i="85"/>
  <c r="BM4" i="85"/>
  <c r="BL4" i="85"/>
  <c r="BK4" i="85"/>
  <c r="BJ4" i="85"/>
  <c r="BH4" i="85"/>
  <c r="BG4" i="85"/>
  <c r="BF4" i="85"/>
  <c r="BE4" i="85"/>
  <c r="BC4" i="85"/>
  <c r="BB4" i="85"/>
  <c r="BA4" i="85"/>
  <c r="AZ4" i="85"/>
  <c r="AY4" i="85"/>
  <c r="AX4" i="85"/>
  <c r="AW4" i="85"/>
  <c r="AV4" i="85"/>
  <c r="AU4" i="85"/>
  <c r="AT4" i="85"/>
  <c r="AS4" i="85"/>
  <c r="AR4" i="85"/>
  <c r="AQ4" i="85"/>
  <c r="AO4" i="85"/>
  <c r="AN4" i="85"/>
  <c r="AM4" i="85"/>
  <c r="AL4" i="85"/>
  <c r="AJ4" i="85"/>
  <c r="AI4" i="85"/>
  <c r="AH4" i="85"/>
  <c r="AG4" i="85"/>
  <c r="AF4" i="85"/>
  <c r="AE4" i="85"/>
  <c r="AD4" i="85"/>
  <c r="AC4" i="85"/>
  <c r="AB4" i="85"/>
  <c r="AA4" i="85"/>
  <c r="Z4" i="85"/>
  <c r="Y4" i="85"/>
  <c r="X4" i="85"/>
  <c r="W4" i="85"/>
  <c r="V4" i="85"/>
  <c r="T4" i="85"/>
  <c r="S4" i="85"/>
  <c r="R4" i="85"/>
  <c r="Q4" i="85"/>
  <c r="P4" i="85"/>
  <c r="O4" i="85"/>
  <c r="N4" i="85"/>
  <c r="M4" i="85"/>
  <c r="L4" i="85"/>
  <c r="K4" i="85"/>
  <c r="J4" i="85"/>
  <c r="I4" i="85"/>
  <c r="H4" i="85"/>
  <c r="G4" i="85"/>
  <c r="F4" i="85"/>
  <c r="E4" i="85"/>
  <c r="BW4" i="84"/>
  <c r="BV4" i="84"/>
  <c r="BU4" i="84"/>
  <c r="BT4" i="84"/>
  <c r="BS4" i="84"/>
  <c r="BR4" i="84"/>
  <c r="BQ4" i="84"/>
  <c r="BP4" i="84"/>
  <c r="BO4" i="84"/>
  <c r="BN4" i="84"/>
  <c r="BM4" i="84"/>
  <c r="BL4" i="84"/>
  <c r="BK4" i="84"/>
  <c r="BJ4" i="84"/>
  <c r="BH4" i="84"/>
  <c r="BG4" i="84"/>
  <c r="BF4" i="84"/>
  <c r="BE4" i="84"/>
  <c r="BC4" i="84"/>
  <c r="BB4" i="84"/>
  <c r="BA4" i="84"/>
  <c r="AZ4" i="84"/>
  <c r="AY4" i="84"/>
  <c r="AX4" i="84"/>
  <c r="AW4" i="84"/>
  <c r="AV4" i="84"/>
  <c r="AU4" i="84"/>
  <c r="AT4" i="84"/>
  <c r="AS4" i="84"/>
  <c r="AR4" i="84"/>
  <c r="AQ4" i="84"/>
  <c r="AO4" i="84"/>
  <c r="AN4" i="84"/>
  <c r="AM4" i="84"/>
  <c r="AL4" i="84"/>
  <c r="AJ4" i="84"/>
  <c r="AI4" i="84"/>
  <c r="AH4" i="84"/>
  <c r="AG4" i="84"/>
  <c r="AF4" i="84"/>
  <c r="AE4" i="84"/>
  <c r="AD4" i="84"/>
  <c r="AC4" i="84"/>
  <c r="AB4" i="84"/>
  <c r="AA4" i="84"/>
  <c r="Z4" i="84"/>
  <c r="Y4" i="84"/>
  <c r="X4" i="84"/>
  <c r="W4" i="84"/>
  <c r="V4" i="84"/>
  <c r="T4" i="84"/>
  <c r="S4" i="84"/>
  <c r="R4" i="84"/>
  <c r="Q4" i="84"/>
  <c r="P4" i="84"/>
  <c r="O4" i="84"/>
  <c r="N4" i="84"/>
  <c r="M4" i="84"/>
  <c r="L4" i="84"/>
  <c r="K4" i="84"/>
  <c r="J4" i="84"/>
  <c r="I4" i="84"/>
  <c r="H4" i="84"/>
  <c r="G4" i="84"/>
  <c r="F4" i="84"/>
  <c r="E4" i="84"/>
  <c r="BW4" i="83"/>
  <c r="BV4" i="83"/>
  <c r="BU4" i="83"/>
  <c r="BT4" i="83"/>
  <c r="BS4" i="83"/>
  <c r="BR4" i="83"/>
  <c r="BQ4" i="83"/>
  <c r="BP4" i="83"/>
  <c r="BO4" i="83"/>
  <c r="BN4" i="83"/>
  <c r="BM4" i="83"/>
  <c r="BL4" i="83"/>
  <c r="BK4" i="83"/>
  <c r="BJ4" i="83"/>
  <c r="BH4" i="83"/>
  <c r="BG4" i="83"/>
  <c r="BF4" i="83"/>
  <c r="BE4" i="83"/>
  <c r="BC4" i="83"/>
  <c r="BB4" i="83"/>
  <c r="BA4" i="83"/>
  <c r="AZ4" i="83"/>
  <c r="AY4" i="83"/>
  <c r="AX4" i="83"/>
  <c r="AW4" i="83"/>
  <c r="AV4" i="83"/>
  <c r="AU4" i="83"/>
  <c r="AT4" i="83"/>
  <c r="AS4" i="83"/>
  <c r="AR4" i="83"/>
  <c r="AQ4" i="83"/>
  <c r="AO4" i="83"/>
  <c r="AN4" i="83"/>
  <c r="AM4" i="83"/>
  <c r="AL4" i="83"/>
  <c r="AJ4" i="83"/>
  <c r="AI4" i="83"/>
  <c r="AH4" i="83"/>
  <c r="AG4" i="83"/>
  <c r="AF4" i="83"/>
  <c r="AE4" i="83"/>
  <c r="AD4" i="83"/>
  <c r="AC4" i="83"/>
  <c r="AB4" i="83"/>
  <c r="AA4" i="83"/>
  <c r="Z4" i="83"/>
  <c r="Y4" i="83"/>
  <c r="X4" i="83"/>
  <c r="W4" i="83"/>
  <c r="V4" i="83"/>
  <c r="T4" i="83"/>
  <c r="S4" i="83"/>
  <c r="R4" i="83"/>
  <c r="Q4" i="83"/>
  <c r="P4" i="83"/>
  <c r="O4" i="83"/>
  <c r="N4" i="83"/>
  <c r="M4" i="83"/>
  <c r="L4" i="83"/>
  <c r="K4" i="83"/>
  <c r="J4" i="83"/>
  <c r="I4" i="83"/>
  <c r="H4" i="83"/>
  <c r="G4" i="83"/>
  <c r="F4" i="83"/>
  <c r="E4" i="83"/>
  <c r="BW4" i="82"/>
  <c r="BV4" i="82"/>
  <c r="BU4" i="82"/>
  <c r="BT4" i="82"/>
  <c r="BS4" i="82"/>
  <c r="BR4" i="82"/>
  <c r="BQ4" i="82"/>
  <c r="BP4" i="82"/>
  <c r="BO4" i="82"/>
  <c r="BN4" i="82"/>
  <c r="BM4" i="82"/>
  <c r="BL4" i="82"/>
  <c r="BK4" i="82"/>
  <c r="BJ4" i="82"/>
  <c r="BH4" i="82"/>
  <c r="BG4" i="82"/>
  <c r="BF4" i="82"/>
  <c r="BE4" i="82"/>
  <c r="BC4" i="82"/>
  <c r="BB4" i="82"/>
  <c r="BA4" i="82"/>
  <c r="AZ4" i="82"/>
  <c r="AY4" i="82"/>
  <c r="AX4" i="82"/>
  <c r="AW4" i="82"/>
  <c r="AV4" i="82"/>
  <c r="AU4" i="82"/>
  <c r="AT4" i="82"/>
  <c r="AS4" i="82"/>
  <c r="AR4" i="82"/>
  <c r="AQ4" i="82"/>
  <c r="AO4" i="82"/>
  <c r="AN4" i="82"/>
  <c r="AM4" i="82"/>
  <c r="AL4" i="82"/>
  <c r="AJ4" i="82"/>
  <c r="AI4" i="82"/>
  <c r="AH4" i="82"/>
  <c r="AG4" i="82"/>
  <c r="AF4" i="82"/>
  <c r="AE4" i="82"/>
  <c r="AD4" i="82"/>
  <c r="AC4" i="82"/>
  <c r="AB4" i="82"/>
  <c r="AA4" i="82"/>
  <c r="Z4" i="82"/>
  <c r="Y4" i="82"/>
  <c r="X4" i="82"/>
  <c r="W4" i="82"/>
  <c r="V4" i="82"/>
  <c r="T4" i="82"/>
  <c r="S4" i="82"/>
  <c r="R4" i="82"/>
  <c r="Q4" i="82"/>
  <c r="P4" i="82"/>
  <c r="O4" i="82"/>
  <c r="N4" i="82"/>
  <c r="M4" i="82"/>
  <c r="L4" i="82"/>
  <c r="K4" i="82"/>
  <c r="J4" i="82"/>
  <c r="I4" i="82"/>
  <c r="H4" i="82"/>
  <c r="G4" i="82"/>
  <c r="F4" i="82"/>
  <c r="E4" i="82"/>
  <c r="BW4" i="81"/>
  <c r="BV4" i="81"/>
  <c r="BU4" i="81"/>
  <c r="BT4" i="81"/>
  <c r="BS4" i="81"/>
  <c r="BR4" i="81"/>
  <c r="BQ4" i="81"/>
  <c r="BP4" i="81"/>
  <c r="BO4" i="81"/>
  <c r="BN4" i="81"/>
  <c r="BM4" i="81"/>
  <c r="BL4" i="81"/>
  <c r="BK4" i="81"/>
  <c r="BJ4" i="81"/>
  <c r="BH4" i="81"/>
  <c r="BG4" i="81"/>
  <c r="BF4" i="81"/>
  <c r="BE4" i="81"/>
  <c r="BC4" i="81"/>
  <c r="BB4" i="81"/>
  <c r="BA4" i="81"/>
  <c r="AZ4" i="81"/>
  <c r="AY4" i="81"/>
  <c r="AX4" i="81"/>
  <c r="AW4" i="81"/>
  <c r="AV4" i="81"/>
  <c r="AU4" i="81"/>
  <c r="AT4" i="81"/>
  <c r="AS4" i="81"/>
  <c r="AR4" i="81"/>
  <c r="AQ4" i="81"/>
  <c r="AO4" i="81"/>
  <c r="AN4" i="81"/>
  <c r="AM4" i="81"/>
  <c r="AL4" i="81"/>
  <c r="AJ4" i="81"/>
  <c r="AI4" i="81"/>
  <c r="AH4" i="81"/>
  <c r="AG4" i="81"/>
  <c r="AF4" i="81"/>
  <c r="AE4" i="81"/>
  <c r="AD4" i="81"/>
  <c r="AC4" i="81"/>
  <c r="AB4" i="81"/>
  <c r="AA4" i="81"/>
  <c r="Z4" i="81"/>
  <c r="Y4" i="81"/>
  <c r="X4" i="81"/>
  <c r="W4" i="81"/>
  <c r="V4" i="81"/>
  <c r="T4" i="81"/>
  <c r="S4" i="81"/>
  <c r="R4" i="81"/>
  <c r="Q4" i="81"/>
  <c r="P4" i="81"/>
  <c r="O4" i="81"/>
  <c r="N4" i="81"/>
  <c r="M4" i="81"/>
  <c r="L4" i="81"/>
  <c r="K4" i="81"/>
  <c r="J4" i="81"/>
  <c r="I4" i="81"/>
  <c r="H4" i="81"/>
  <c r="G4" i="81"/>
  <c r="F4" i="81"/>
  <c r="E4" i="81"/>
  <c r="BW4" i="80"/>
  <c r="BV4" i="80"/>
  <c r="BU4" i="80"/>
  <c r="BT4" i="80"/>
  <c r="BS4" i="80"/>
  <c r="BR4" i="80"/>
  <c r="BQ4" i="80"/>
  <c r="BP4" i="80"/>
  <c r="BO4" i="80"/>
  <c r="BN4" i="80"/>
  <c r="BM4" i="80"/>
  <c r="BL4" i="80"/>
  <c r="BK4" i="80"/>
  <c r="BJ4" i="80"/>
  <c r="BH4" i="80"/>
  <c r="BG4" i="80"/>
  <c r="BF4" i="80"/>
  <c r="BE4" i="80"/>
  <c r="BC4" i="80"/>
  <c r="BB4" i="80"/>
  <c r="BA4" i="80"/>
  <c r="AZ4" i="80"/>
  <c r="AY4" i="80"/>
  <c r="AX4" i="80"/>
  <c r="AW4" i="80"/>
  <c r="AV4" i="80"/>
  <c r="AU4" i="80"/>
  <c r="AT4" i="80"/>
  <c r="AS4" i="80"/>
  <c r="AR4" i="80"/>
  <c r="AQ4" i="80"/>
  <c r="AO4" i="80"/>
  <c r="AN4" i="80"/>
  <c r="AM4" i="80"/>
  <c r="AL4" i="80"/>
  <c r="AJ4" i="80"/>
  <c r="AI4" i="80"/>
  <c r="AH4" i="80"/>
  <c r="AG4" i="80"/>
  <c r="AF4" i="80"/>
  <c r="AE4" i="80"/>
  <c r="AD4" i="80"/>
  <c r="AC4" i="80"/>
  <c r="AB4" i="80"/>
  <c r="AA4" i="80"/>
  <c r="Z4" i="80"/>
  <c r="Y4" i="80"/>
  <c r="X4" i="80"/>
  <c r="W4" i="80"/>
  <c r="V4" i="80"/>
  <c r="T4" i="80"/>
  <c r="S4" i="80"/>
  <c r="R4" i="80"/>
  <c r="Q4" i="80"/>
  <c r="P4" i="80"/>
  <c r="O4" i="80"/>
  <c r="N4" i="80"/>
  <c r="M4" i="80"/>
  <c r="L4" i="80"/>
  <c r="K4" i="80"/>
  <c r="J4" i="80"/>
  <c r="I4" i="80"/>
  <c r="H4" i="80"/>
  <c r="G4" i="80"/>
  <c r="F4" i="80"/>
  <c r="E4" i="80"/>
  <c r="BW4" i="79"/>
  <c r="BV4" i="79"/>
  <c r="BU4" i="79"/>
  <c r="BT4" i="79"/>
  <c r="BS4" i="79"/>
  <c r="BR4" i="79"/>
  <c r="BQ4" i="79"/>
  <c r="BP4" i="79"/>
  <c r="BO4" i="79"/>
  <c r="BN4" i="79"/>
  <c r="BM4" i="79"/>
  <c r="BL4" i="79"/>
  <c r="BK4" i="79"/>
  <c r="BJ4" i="79"/>
  <c r="BH4" i="79"/>
  <c r="BG4" i="79"/>
  <c r="BF4" i="79"/>
  <c r="BE4" i="79"/>
  <c r="BC4" i="79"/>
  <c r="BB4" i="79"/>
  <c r="BA4" i="79"/>
  <c r="AZ4" i="79"/>
  <c r="AY4" i="79"/>
  <c r="AX4" i="79"/>
  <c r="AW4" i="79"/>
  <c r="AV4" i="79"/>
  <c r="AU4" i="79"/>
  <c r="AT4" i="79"/>
  <c r="AS4" i="79"/>
  <c r="AR4" i="79"/>
  <c r="AQ4" i="79"/>
  <c r="AO4" i="79"/>
  <c r="AN4" i="79"/>
  <c r="AM4" i="79"/>
  <c r="AL4" i="79"/>
  <c r="AJ4" i="79"/>
  <c r="AI4" i="79"/>
  <c r="AH4" i="79"/>
  <c r="AG4" i="79"/>
  <c r="AF4" i="79"/>
  <c r="AE4" i="79"/>
  <c r="AD4" i="79"/>
  <c r="AC4" i="79"/>
  <c r="AB4" i="79"/>
  <c r="AA4" i="79"/>
  <c r="Z4" i="79"/>
  <c r="Y4" i="79"/>
  <c r="X4" i="79"/>
  <c r="W4" i="79"/>
  <c r="V4" i="79"/>
  <c r="T4" i="79"/>
  <c r="S4" i="79"/>
  <c r="R4" i="79"/>
  <c r="Q4" i="79"/>
  <c r="P4" i="79"/>
  <c r="O4" i="79"/>
  <c r="N4" i="79"/>
  <c r="M4" i="79"/>
  <c r="L4" i="79"/>
  <c r="K4" i="79"/>
  <c r="J4" i="79"/>
  <c r="I4" i="79"/>
  <c r="H4" i="79"/>
  <c r="G4" i="79"/>
  <c r="F4" i="79"/>
  <c r="E4" i="79"/>
  <c r="BW4" i="78"/>
  <c r="BV4" i="78"/>
  <c r="BU4" i="78"/>
  <c r="BT4" i="78"/>
  <c r="BS4" i="78"/>
  <c r="BR4" i="78"/>
  <c r="BQ4" i="78"/>
  <c r="BP4" i="78"/>
  <c r="BO4" i="78"/>
  <c r="BN4" i="78"/>
  <c r="BM4" i="78"/>
  <c r="BL4" i="78"/>
  <c r="BK4" i="78"/>
  <c r="BJ4" i="78"/>
  <c r="BH4" i="78"/>
  <c r="BG4" i="78"/>
  <c r="BF4" i="78"/>
  <c r="BE4" i="78"/>
  <c r="BC4" i="78"/>
  <c r="BB4" i="78"/>
  <c r="BA4" i="78"/>
  <c r="AZ4" i="78"/>
  <c r="AY4" i="78"/>
  <c r="AX4" i="78"/>
  <c r="AW4" i="78"/>
  <c r="AV4" i="78"/>
  <c r="AU4" i="78"/>
  <c r="AT4" i="78"/>
  <c r="AS4" i="78"/>
  <c r="AR4" i="78"/>
  <c r="AQ4" i="78"/>
  <c r="AO4" i="78"/>
  <c r="AN4" i="78"/>
  <c r="AM4" i="78"/>
  <c r="AL4" i="78"/>
  <c r="AJ4" i="78"/>
  <c r="AI4" i="78"/>
  <c r="AH4" i="78"/>
  <c r="AG4" i="78"/>
  <c r="AF4" i="78"/>
  <c r="AE4" i="78"/>
  <c r="AD4" i="78"/>
  <c r="AC4" i="78"/>
  <c r="AB4" i="78"/>
  <c r="AA4" i="78"/>
  <c r="Z4" i="78"/>
  <c r="Y4" i="78"/>
  <c r="X4" i="78"/>
  <c r="W4" i="78"/>
  <c r="V4" i="78"/>
  <c r="T4" i="78"/>
  <c r="S4" i="78"/>
  <c r="R4" i="78"/>
  <c r="Q4" i="78"/>
  <c r="P4" i="78"/>
  <c r="O4" i="78"/>
  <c r="N4" i="78"/>
  <c r="M4" i="78"/>
  <c r="L4" i="78"/>
  <c r="K4" i="78"/>
  <c r="J4" i="78"/>
  <c r="I4" i="78"/>
  <c r="H4" i="78"/>
  <c r="G4" i="78"/>
  <c r="F4" i="78"/>
  <c r="E4" i="78"/>
  <c r="BW4" i="77"/>
  <c r="BV4" i="77"/>
  <c r="BU4" i="77"/>
  <c r="BT4" i="77"/>
  <c r="BS4" i="77"/>
  <c r="BR4" i="77"/>
  <c r="BQ4" i="77"/>
  <c r="BP4" i="77"/>
  <c r="BO4" i="77"/>
  <c r="BN4" i="77"/>
  <c r="BM4" i="77"/>
  <c r="BL4" i="77"/>
  <c r="BK4" i="77"/>
  <c r="BJ4" i="77"/>
  <c r="BH4" i="77"/>
  <c r="BG4" i="77"/>
  <c r="BF4" i="77"/>
  <c r="BE4" i="77"/>
  <c r="BC4" i="77"/>
  <c r="BB4" i="77"/>
  <c r="BA4" i="77"/>
  <c r="AZ4" i="77"/>
  <c r="AY4" i="77"/>
  <c r="AX4" i="77"/>
  <c r="AW4" i="77"/>
  <c r="AV4" i="77"/>
  <c r="AU4" i="77"/>
  <c r="AT4" i="77"/>
  <c r="AS4" i="77"/>
  <c r="AR4" i="77"/>
  <c r="AQ4" i="77"/>
  <c r="AO4" i="77"/>
  <c r="AN4" i="77"/>
  <c r="AM4" i="77"/>
  <c r="AL4" i="77"/>
  <c r="AJ4" i="77"/>
  <c r="AI4" i="77"/>
  <c r="AH4" i="77"/>
  <c r="AG4" i="77"/>
  <c r="AF4" i="77"/>
  <c r="AE4" i="77"/>
  <c r="AD4" i="77"/>
  <c r="AC4" i="77"/>
  <c r="AB4" i="77"/>
  <c r="AA4" i="77"/>
  <c r="Z4" i="77"/>
  <c r="Y4" i="77"/>
  <c r="X4" i="77"/>
  <c r="W4" i="77"/>
  <c r="V4" i="77"/>
  <c r="T4" i="77"/>
  <c r="S4" i="77"/>
  <c r="R4" i="77"/>
  <c r="Q4" i="77"/>
  <c r="P4" i="77"/>
  <c r="O4" i="77"/>
  <c r="N4" i="77"/>
  <c r="M4" i="77"/>
  <c r="L4" i="77"/>
  <c r="K4" i="77"/>
  <c r="J4" i="77"/>
  <c r="I4" i="77"/>
  <c r="H4" i="77"/>
  <c r="G4" i="77"/>
  <c r="F4" i="77"/>
  <c r="E4" i="77"/>
  <c r="BW4" i="76"/>
  <c r="BV4" i="76"/>
  <c r="BU4" i="76"/>
  <c r="BT4" i="76"/>
  <c r="BS4" i="76"/>
  <c r="BR4" i="76"/>
  <c r="BQ4" i="76"/>
  <c r="BP4" i="76"/>
  <c r="BO4" i="76"/>
  <c r="BN4" i="76"/>
  <c r="BM4" i="76"/>
  <c r="BL4" i="76"/>
  <c r="BK4" i="76"/>
  <c r="BJ4" i="76"/>
  <c r="BH4" i="76"/>
  <c r="BG4" i="76"/>
  <c r="BF4" i="76"/>
  <c r="BE4" i="76"/>
  <c r="BC4" i="76"/>
  <c r="BB4" i="76"/>
  <c r="BA4" i="76"/>
  <c r="AZ4" i="76"/>
  <c r="AY4" i="76"/>
  <c r="AX4" i="76"/>
  <c r="AW4" i="76"/>
  <c r="AV4" i="76"/>
  <c r="AU4" i="76"/>
  <c r="AT4" i="76"/>
  <c r="AS4" i="76"/>
  <c r="AR4" i="76"/>
  <c r="AQ4" i="76"/>
  <c r="AO4" i="76"/>
  <c r="AN4" i="76"/>
  <c r="AM4" i="76"/>
  <c r="AL4" i="76"/>
  <c r="AJ4" i="76"/>
  <c r="AI4" i="76"/>
  <c r="AH4" i="76"/>
  <c r="AG4" i="76"/>
  <c r="AF4" i="76"/>
  <c r="AE4" i="76"/>
  <c r="AD4" i="76"/>
  <c r="AC4" i="76"/>
  <c r="AB4" i="76"/>
  <c r="AA4" i="76"/>
  <c r="Z4" i="76"/>
  <c r="Y4" i="76"/>
  <c r="X4" i="76"/>
  <c r="W4" i="76"/>
  <c r="V4" i="76"/>
  <c r="T4" i="76"/>
  <c r="S4" i="76"/>
  <c r="R4" i="76"/>
  <c r="Q4" i="76"/>
  <c r="P4" i="76"/>
  <c r="O4" i="76"/>
  <c r="N4" i="76"/>
  <c r="M4" i="76"/>
  <c r="L4" i="76"/>
  <c r="K4" i="76"/>
  <c r="J4" i="76"/>
  <c r="I4" i="76"/>
  <c r="H4" i="76"/>
  <c r="G4" i="76"/>
  <c r="F4" i="76"/>
  <c r="E4" i="76"/>
  <c r="BW4" i="75"/>
  <c r="BV4" i="75"/>
  <c r="BU4" i="75"/>
  <c r="BT4" i="75"/>
  <c r="BS4" i="75"/>
  <c r="BR4" i="75"/>
  <c r="BQ4" i="75"/>
  <c r="BP4" i="75"/>
  <c r="BO4" i="75"/>
  <c r="BN4" i="75"/>
  <c r="BM4" i="75"/>
  <c r="BL4" i="75"/>
  <c r="BK4" i="75"/>
  <c r="BJ4" i="75"/>
  <c r="BH4" i="75"/>
  <c r="BG4" i="75"/>
  <c r="BF4" i="75"/>
  <c r="BE4" i="75"/>
  <c r="BC4" i="75"/>
  <c r="BB4" i="75"/>
  <c r="BA4" i="75"/>
  <c r="AZ4" i="75"/>
  <c r="AY4" i="75"/>
  <c r="AX4" i="75"/>
  <c r="AW4" i="75"/>
  <c r="AV4" i="75"/>
  <c r="AU4" i="75"/>
  <c r="AT4" i="75"/>
  <c r="AS4" i="75"/>
  <c r="AR4" i="75"/>
  <c r="AQ4" i="75"/>
  <c r="AO4" i="75"/>
  <c r="AN4" i="75"/>
  <c r="AM4" i="75"/>
  <c r="AL4" i="75"/>
  <c r="AJ4" i="75"/>
  <c r="AI4" i="75"/>
  <c r="AH4" i="75"/>
  <c r="AG4" i="75"/>
  <c r="AF4" i="75"/>
  <c r="AE4" i="75"/>
  <c r="AD4" i="75"/>
  <c r="AC4" i="75"/>
  <c r="AB4" i="75"/>
  <c r="AA4" i="75"/>
  <c r="Z4" i="75"/>
  <c r="Y4" i="75"/>
  <c r="X4" i="75"/>
  <c r="W4" i="75"/>
  <c r="V4" i="75"/>
  <c r="T4" i="75"/>
  <c r="S4" i="75"/>
  <c r="R4" i="75"/>
  <c r="Q4" i="75"/>
  <c r="P4" i="75"/>
  <c r="O4" i="75"/>
  <c r="N4" i="75"/>
  <c r="M4" i="75"/>
  <c r="L4" i="75"/>
  <c r="K4" i="75"/>
  <c r="J4" i="75"/>
  <c r="I4" i="75"/>
  <c r="H4" i="75"/>
  <c r="G4" i="75"/>
  <c r="F4" i="75"/>
  <c r="E4" i="75"/>
  <c r="BW4" i="74"/>
  <c r="BV4" i="74"/>
  <c r="BU4" i="74"/>
  <c r="BT4" i="74"/>
  <c r="BS4" i="74"/>
  <c r="BR4" i="74"/>
  <c r="BQ4" i="74"/>
  <c r="BP4" i="74"/>
  <c r="BO4" i="74"/>
  <c r="BN4" i="74"/>
  <c r="BM4" i="74"/>
  <c r="BL4" i="74"/>
  <c r="BK4" i="74"/>
  <c r="BJ4" i="74"/>
  <c r="BH4" i="74"/>
  <c r="BG4" i="74"/>
  <c r="BF4" i="74"/>
  <c r="BE4" i="74"/>
  <c r="BC4" i="74"/>
  <c r="BB4" i="74"/>
  <c r="BA4" i="74"/>
  <c r="AZ4" i="74"/>
  <c r="AY4" i="74"/>
  <c r="AX4" i="74"/>
  <c r="AW4" i="74"/>
  <c r="AV4" i="74"/>
  <c r="AU4" i="74"/>
  <c r="AT4" i="74"/>
  <c r="AS4" i="74"/>
  <c r="AR4" i="74"/>
  <c r="AQ4" i="74"/>
  <c r="AO4" i="74"/>
  <c r="AN4" i="74"/>
  <c r="AM4" i="74"/>
  <c r="AL4" i="74"/>
  <c r="AJ4" i="74"/>
  <c r="AI4" i="74"/>
  <c r="AH4" i="74"/>
  <c r="AG4" i="74"/>
  <c r="AF4" i="74"/>
  <c r="AE4" i="74"/>
  <c r="AD4" i="74"/>
  <c r="AC4" i="74"/>
  <c r="AB4" i="74"/>
  <c r="AA4" i="74"/>
  <c r="Z4" i="74"/>
  <c r="Y4" i="74"/>
  <c r="X4" i="74"/>
  <c r="W4" i="74"/>
  <c r="V4" i="74"/>
  <c r="T4" i="74"/>
  <c r="S4" i="74"/>
  <c r="R4" i="74"/>
  <c r="Q4" i="74"/>
  <c r="P4" i="74"/>
  <c r="O4" i="74"/>
  <c r="N4" i="74"/>
  <c r="M4" i="74"/>
  <c r="L4" i="74"/>
  <c r="K4" i="74"/>
  <c r="J4" i="74"/>
  <c r="I4" i="74"/>
  <c r="H4" i="74"/>
  <c r="G4" i="74"/>
  <c r="F4" i="74"/>
  <c r="E4" i="74"/>
  <c r="BW4" i="73"/>
  <c r="BV4" i="73"/>
  <c r="BU4" i="73"/>
  <c r="BT4" i="73"/>
  <c r="BS4" i="73"/>
  <c r="BR4" i="73"/>
  <c r="BQ4" i="73"/>
  <c r="BP4" i="73"/>
  <c r="BO4" i="73"/>
  <c r="BN4" i="73"/>
  <c r="BM4" i="73"/>
  <c r="BL4" i="73"/>
  <c r="BK4" i="73"/>
  <c r="BJ4" i="73"/>
  <c r="BH4" i="73"/>
  <c r="BG4" i="73"/>
  <c r="BF4" i="73"/>
  <c r="BE4" i="73"/>
  <c r="BC4" i="73"/>
  <c r="BB4" i="73"/>
  <c r="BA4" i="73"/>
  <c r="AZ4" i="73"/>
  <c r="AY4" i="73"/>
  <c r="AX4" i="73"/>
  <c r="AW4" i="73"/>
  <c r="AV4" i="73"/>
  <c r="AU4" i="73"/>
  <c r="AT4" i="73"/>
  <c r="AS4" i="73"/>
  <c r="AR4" i="73"/>
  <c r="AQ4" i="73"/>
  <c r="AO4" i="73"/>
  <c r="AN4" i="73"/>
  <c r="AM4" i="73"/>
  <c r="AL4" i="73"/>
  <c r="AJ4" i="73"/>
  <c r="AI4" i="73"/>
  <c r="AH4" i="73"/>
  <c r="AG4" i="73"/>
  <c r="AF4" i="73"/>
  <c r="AE4" i="73"/>
  <c r="AD4" i="73"/>
  <c r="AC4" i="73"/>
  <c r="AB4" i="73"/>
  <c r="AA4" i="73"/>
  <c r="Z4" i="73"/>
  <c r="Y4" i="73"/>
  <c r="X4" i="73"/>
  <c r="W4" i="73"/>
  <c r="V4" i="73"/>
  <c r="T4" i="73"/>
  <c r="S4" i="73"/>
  <c r="R4" i="73"/>
  <c r="Q4" i="73"/>
  <c r="P4" i="73"/>
  <c r="O4" i="73"/>
  <c r="N4" i="73"/>
  <c r="M4" i="73"/>
  <c r="L4" i="73"/>
  <c r="K4" i="73"/>
  <c r="J4" i="73"/>
  <c r="I4" i="73"/>
  <c r="H4" i="73"/>
  <c r="G4" i="73"/>
  <c r="F4" i="73"/>
  <c r="E4" i="73"/>
  <c r="BW4" i="72"/>
  <c r="BV4" i="72"/>
  <c r="BU4" i="72"/>
  <c r="BT4" i="72"/>
  <c r="BS4" i="72"/>
  <c r="BR4" i="72"/>
  <c r="BQ4" i="72"/>
  <c r="BP4" i="72"/>
  <c r="BO4" i="72"/>
  <c r="BN4" i="72"/>
  <c r="BM4" i="72"/>
  <c r="BL4" i="72"/>
  <c r="BK4" i="72"/>
  <c r="BJ4" i="72"/>
  <c r="BH4" i="72"/>
  <c r="BG4" i="72"/>
  <c r="BF4" i="72"/>
  <c r="BE4" i="72"/>
  <c r="BC4" i="72"/>
  <c r="BB4" i="72"/>
  <c r="BA4" i="72"/>
  <c r="AZ4" i="72"/>
  <c r="AY4" i="72"/>
  <c r="AX4" i="72"/>
  <c r="AW4" i="72"/>
  <c r="AV4" i="72"/>
  <c r="AU4" i="72"/>
  <c r="AT4" i="72"/>
  <c r="AS4" i="72"/>
  <c r="AQ4" i="72"/>
  <c r="AO4" i="72"/>
  <c r="AN4" i="72"/>
  <c r="AM4" i="72"/>
  <c r="AL4" i="72"/>
  <c r="AJ4" i="72"/>
  <c r="AI4" i="72"/>
  <c r="AH4" i="72"/>
  <c r="AG4" i="72"/>
  <c r="AF4" i="72"/>
  <c r="AE4" i="72"/>
  <c r="AD4" i="72"/>
  <c r="AC4" i="72"/>
  <c r="AB4" i="72"/>
  <c r="AA4" i="72"/>
  <c r="Z4" i="72"/>
  <c r="Y4" i="72"/>
  <c r="X4" i="72"/>
  <c r="W4" i="72"/>
  <c r="V4" i="72"/>
  <c r="T4" i="72"/>
  <c r="S4" i="72"/>
  <c r="R4" i="72"/>
  <c r="Q4" i="72"/>
  <c r="P4" i="72"/>
  <c r="O4" i="72"/>
  <c r="N4" i="72"/>
  <c r="M4" i="72"/>
  <c r="L4" i="72"/>
  <c r="K4" i="72"/>
  <c r="J4" i="72"/>
  <c r="I4" i="72"/>
  <c r="H4" i="72"/>
  <c r="G4" i="72"/>
  <c r="F4" i="72"/>
  <c r="E4" i="72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H4" i="7"/>
  <c r="BG4" i="7"/>
  <c r="BF4" i="7"/>
  <c r="BE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O4" i="7"/>
  <c r="AN4" i="7"/>
  <c r="AM4" i="7"/>
  <c r="AL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J74" i="5"/>
  <c r="F74" i="5"/>
  <c r="H74" i="5"/>
  <c r="J73" i="5"/>
  <c r="F73" i="5"/>
  <c r="H73" i="5"/>
  <c r="J72" i="5"/>
  <c r="F72" i="5"/>
  <c r="H72" i="5"/>
  <c r="J71" i="5"/>
  <c r="F71" i="5"/>
  <c r="H71" i="5"/>
  <c r="J70" i="5"/>
  <c r="F70" i="5"/>
  <c r="H70" i="5"/>
  <c r="J69" i="5"/>
  <c r="F69" i="5"/>
  <c r="H69" i="5"/>
  <c r="J68" i="5"/>
  <c r="F68" i="5"/>
  <c r="H68" i="5"/>
  <c r="J67" i="5"/>
  <c r="F67" i="5"/>
  <c r="H67" i="5"/>
  <c r="J66" i="5"/>
  <c r="F66" i="5"/>
  <c r="H66" i="5"/>
  <c r="J65" i="5"/>
  <c r="F65" i="5"/>
  <c r="H65" i="5"/>
  <c r="J64" i="5"/>
  <c r="F64" i="5"/>
  <c r="H64" i="5"/>
  <c r="J63" i="5"/>
  <c r="F63" i="5"/>
  <c r="H63" i="5"/>
  <c r="J62" i="5"/>
  <c r="F62" i="5"/>
  <c r="H62" i="5"/>
  <c r="J61" i="5"/>
  <c r="F61" i="5"/>
  <c r="H61" i="5"/>
  <c r="J59" i="5"/>
  <c r="F59" i="5"/>
  <c r="H59" i="5"/>
  <c r="J58" i="5"/>
  <c r="F58" i="5"/>
  <c r="H58" i="5"/>
  <c r="J57" i="5"/>
  <c r="F57" i="5"/>
  <c r="H57" i="5"/>
  <c r="J55" i="5"/>
  <c r="F55" i="5"/>
  <c r="H55" i="5"/>
  <c r="J54" i="5"/>
  <c r="F54" i="5"/>
  <c r="H54" i="5"/>
  <c r="J53" i="5"/>
  <c r="F53" i="5"/>
  <c r="H53" i="5"/>
  <c r="L50" i="5"/>
  <c r="F50" i="5"/>
  <c r="H50" i="5"/>
  <c r="N50" i="5"/>
  <c r="J49" i="5"/>
  <c r="F49" i="5"/>
  <c r="H49" i="5"/>
  <c r="J48" i="5"/>
  <c r="F48" i="5"/>
  <c r="H48" i="5"/>
  <c r="J47" i="5"/>
  <c r="F47" i="5"/>
  <c r="H47" i="5"/>
  <c r="J46" i="5"/>
  <c r="F46" i="5"/>
  <c r="H46" i="5"/>
  <c r="J45" i="5"/>
  <c r="F45" i="5"/>
  <c r="H45" i="5"/>
  <c r="J44" i="5"/>
  <c r="F44" i="5"/>
  <c r="H44" i="5"/>
  <c r="J43" i="5"/>
  <c r="F43" i="5"/>
  <c r="H43" i="5"/>
  <c r="J42" i="5"/>
  <c r="F42" i="5"/>
  <c r="H42" i="5"/>
  <c r="I42" i="5"/>
  <c r="J41" i="5"/>
  <c r="F41" i="5"/>
  <c r="H41" i="5"/>
  <c r="J40" i="5"/>
  <c r="F40" i="5"/>
  <c r="H40" i="5"/>
  <c r="Q39" i="5"/>
  <c r="J39" i="5"/>
  <c r="F39" i="5"/>
  <c r="H39" i="5"/>
  <c r="J38" i="5"/>
  <c r="F38" i="5"/>
  <c r="H38" i="5"/>
  <c r="J36" i="5"/>
  <c r="F36" i="5"/>
  <c r="H36" i="5"/>
  <c r="J35" i="5"/>
  <c r="E35" i="5"/>
  <c r="F35" i="5"/>
  <c r="H35" i="5"/>
  <c r="J34" i="5"/>
  <c r="E34" i="5"/>
  <c r="F34" i="5"/>
  <c r="H34" i="5"/>
  <c r="J33" i="5"/>
  <c r="E33" i="5"/>
  <c r="F33" i="5"/>
  <c r="H33" i="5"/>
  <c r="J32" i="5"/>
  <c r="E32" i="5"/>
  <c r="F32" i="5"/>
  <c r="H32" i="5"/>
  <c r="J31" i="5"/>
  <c r="D31" i="5"/>
  <c r="E31" i="5"/>
  <c r="F31" i="5"/>
  <c r="H31" i="5"/>
  <c r="J30" i="5"/>
  <c r="D30" i="5"/>
  <c r="E30" i="5"/>
  <c r="F30" i="5"/>
  <c r="H30" i="5"/>
  <c r="J29" i="5"/>
  <c r="D29" i="5"/>
  <c r="E29" i="5"/>
  <c r="F29" i="5"/>
  <c r="H29" i="5"/>
  <c r="J28" i="5"/>
  <c r="D28" i="5"/>
  <c r="E28" i="5"/>
  <c r="F28" i="5"/>
  <c r="H28" i="5"/>
  <c r="J27" i="5"/>
  <c r="E27" i="5"/>
  <c r="F27" i="5"/>
  <c r="H27" i="5"/>
  <c r="J26" i="5"/>
  <c r="D26" i="5"/>
  <c r="E26" i="5"/>
  <c r="F26" i="5"/>
  <c r="H26" i="5"/>
  <c r="J25" i="5"/>
  <c r="D25" i="5"/>
  <c r="E25" i="5"/>
  <c r="F25" i="5"/>
  <c r="H25" i="5"/>
  <c r="J24" i="5"/>
  <c r="E24" i="5"/>
  <c r="F24" i="5"/>
  <c r="H24" i="5"/>
  <c r="J23" i="5"/>
  <c r="D23" i="5"/>
  <c r="E23" i="5"/>
  <c r="F23" i="5"/>
  <c r="H23" i="5"/>
  <c r="J22" i="5"/>
  <c r="D22" i="5"/>
  <c r="E22" i="5"/>
  <c r="F22" i="5"/>
  <c r="H22" i="5"/>
  <c r="J21" i="5"/>
  <c r="D21" i="5"/>
  <c r="E21" i="5"/>
  <c r="F21" i="5"/>
  <c r="H21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D5" i="5"/>
  <c r="E4" i="5"/>
  <c r="E18" i="5"/>
  <c r="F18" i="5"/>
  <c r="H18" i="5"/>
  <c r="H1" i="5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H6" i="1" a="1"/>
  <c r="H6" i="1"/>
  <c r="E6" i="1"/>
  <c r="B41" i="17"/>
  <c r="B40" i="17"/>
  <c r="B19" i="17"/>
  <c r="BQ2" i="17"/>
  <c r="BP2" i="17"/>
  <c r="BO2" i="17"/>
  <c r="BN2" i="17"/>
  <c r="BM2" i="17"/>
  <c r="BL2" i="17"/>
  <c r="BK2" i="17"/>
  <c r="BJ2" i="17"/>
  <c r="BI2" i="17"/>
  <c r="BH2" i="17"/>
  <c r="BG2" i="17"/>
  <c r="BF2" i="17"/>
  <c r="BE2" i="17"/>
  <c r="BD2" i="17"/>
  <c r="BC2" i="17"/>
  <c r="BB2" i="17"/>
  <c r="BA2" i="17"/>
  <c r="AZ2" i="17"/>
  <c r="AY2" i="17"/>
  <c r="AX2" i="17"/>
  <c r="AW2" i="17"/>
  <c r="AV2" i="17"/>
  <c r="AU2" i="17"/>
  <c r="AR2" i="17"/>
  <c r="AQ2" i="17"/>
  <c r="AP2" i="17"/>
  <c r="AO2" i="17"/>
  <c r="A5" i="102"/>
  <c r="A6" i="102" s="1"/>
  <c r="A7" i="102" s="1"/>
  <c r="A8" i="102" s="1"/>
  <c r="A9" i="102" s="1"/>
  <c r="A10" i="102" s="1"/>
  <c r="A11" i="102" s="1"/>
  <c r="A12" i="102" s="1"/>
  <c r="A13" i="102" s="1"/>
  <c r="A14" i="102" s="1"/>
  <c r="A15" i="102" s="1"/>
  <c r="A16" i="102" s="1"/>
  <c r="A17" i="102" s="1"/>
  <c r="A18" i="102" s="1"/>
  <c r="A19" i="102" s="1"/>
  <c r="A20" i="102" s="1"/>
  <c r="A21" i="102" s="1"/>
  <c r="A22" i="102" s="1"/>
  <c r="A23" i="102" s="1"/>
  <c r="A24" i="102" s="1"/>
  <c r="A25" i="102" s="1"/>
  <c r="A26" i="102" s="1"/>
  <c r="A27" i="102" s="1"/>
  <c r="A28" i="102" s="1"/>
  <c r="A29" i="102" s="1"/>
  <c r="A30" i="102" s="1"/>
  <c r="A31" i="102" s="1"/>
  <c r="A32" i="102" s="1"/>
  <c r="A33" i="102" s="1"/>
  <c r="A34" i="102" s="1"/>
  <c r="A35" i="102" s="1"/>
  <c r="A36" i="102" s="1"/>
  <c r="A37" i="102" s="1"/>
  <c r="A38" i="102" s="1"/>
  <c r="A39" i="102" s="1"/>
  <c r="A40" i="102" s="1"/>
  <c r="A41" i="102" s="1"/>
  <c r="A42" i="102" s="1"/>
  <c r="A43" i="102" s="1"/>
  <c r="A44" i="102" s="1"/>
  <c r="A45" i="102" s="1"/>
  <c r="A46" i="102" s="1"/>
  <c r="A47" i="102" s="1"/>
  <c r="A48" i="102" s="1"/>
  <c r="A49" i="102" s="1"/>
  <c r="A50" i="102" s="1"/>
  <c r="A51" i="102" s="1"/>
  <c r="A52" i="102" s="1"/>
  <c r="A53" i="102" s="1"/>
  <c r="A54" i="102" s="1"/>
  <c r="A55" i="102" s="1"/>
  <c r="A56" i="102" s="1"/>
  <c r="A57" i="102" s="1"/>
  <c r="A58" i="102" s="1"/>
  <c r="A59" i="102" s="1"/>
  <c r="A60" i="102" s="1"/>
  <c r="A61" i="102" s="1"/>
  <c r="A62" i="102" s="1"/>
  <c r="A63" i="102" s="1"/>
  <c r="A64" i="102" s="1"/>
  <c r="A65" i="102" s="1"/>
  <c r="A66" i="102" s="1"/>
  <c r="A67" i="102" s="1"/>
  <c r="A68" i="102" s="1"/>
  <c r="A69" i="102" s="1"/>
  <c r="A70" i="102" s="1"/>
  <c r="A71" i="102" s="1"/>
  <c r="A72" i="102" s="1"/>
  <c r="A73" i="102" s="1"/>
  <c r="A74" i="102" s="1"/>
  <c r="A75" i="102" s="1"/>
  <c r="A76" i="102" s="1"/>
  <c r="A77" i="102" s="1"/>
  <c r="A78" i="102" s="1"/>
  <c r="A79" i="102" s="1"/>
  <c r="A80" i="102" s="1"/>
  <c r="A81" i="102" s="1"/>
  <c r="A82" i="102" s="1"/>
  <c r="A83" i="102" s="1"/>
  <c r="A84" i="102" s="1"/>
  <c r="A85" i="102" s="1"/>
  <c r="A86" i="102" s="1"/>
  <c r="A87" i="102" s="1"/>
  <c r="A88" i="102" s="1"/>
  <c r="A89" i="102" s="1"/>
  <c r="A90" i="102" s="1"/>
  <c r="A91" i="102" s="1"/>
  <c r="A92" i="102" s="1"/>
  <c r="A93" i="102" s="1"/>
  <c r="A94" i="102" s="1"/>
  <c r="A95" i="102" s="1"/>
  <c r="A96" i="102" s="1"/>
  <c r="A97" i="102" s="1"/>
  <c r="A98" i="102" s="1"/>
  <c r="A99" i="102" s="1"/>
  <c r="A100" i="102" s="1"/>
  <c r="A101" i="102" s="1"/>
  <c r="A102" i="102" s="1"/>
  <c r="A103" i="102" s="1"/>
  <c r="A104" i="102" s="1"/>
  <c r="A105" i="102" s="1"/>
  <c r="A106" i="102" s="1"/>
  <c r="A107" i="102" s="1"/>
  <c r="BT55" i="52"/>
  <c r="BS55" i="52"/>
  <c r="AM55" i="52"/>
  <c r="AL55" i="52"/>
  <c r="AK55" i="52"/>
  <c r="AJ55" i="52"/>
  <c r="B55" i="52"/>
  <c r="BT54" i="52"/>
  <c r="BS54" i="52"/>
  <c r="AM54" i="52"/>
  <c r="AL54" i="52"/>
  <c r="AK54" i="52"/>
  <c r="AJ54" i="52"/>
  <c r="B54" i="52"/>
  <c r="BT53" i="52"/>
  <c r="BS53" i="52"/>
  <c r="AM53" i="52"/>
  <c r="AL53" i="52"/>
  <c r="AK53" i="52"/>
  <c r="AJ53" i="52"/>
  <c r="B53" i="52"/>
  <c r="D53" i="52"/>
  <c r="BT52" i="52"/>
  <c r="BS52" i="52"/>
  <c r="AM52" i="52"/>
  <c r="AL52" i="52"/>
  <c r="AK52" i="52"/>
  <c r="AJ52" i="52"/>
  <c r="B52" i="52"/>
  <c r="C52" i="52"/>
  <c r="BT51" i="52"/>
  <c r="BS51" i="52"/>
  <c r="AM51" i="52"/>
  <c r="AL51" i="52"/>
  <c r="AK51" i="52"/>
  <c r="AJ51" i="52"/>
  <c r="B51" i="52"/>
  <c r="D51" i="52"/>
  <c r="BT50" i="52"/>
  <c r="BS50" i="52"/>
  <c r="AM50" i="52"/>
  <c r="AL50" i="52"/>
  <c r="AK50" i="52"/>
  <c r="AJ50" i="52"/>
  <c r="B50" i="52"/>
  <c r="D50" i="52"/>
  <c r="BT49" i="52"/>
  <c r="BS49" i="52"/>
  <c r="AM49" i="52"/>
  <c r="AL49" i="52"/>
  <c r="AK49" i="52"/>
  <c r="AJ49" i="52"/>
  <c r="B49" i="52"/>
  <c r="D49" i="52"/>
  <c r="BT48" i="52"/>
  <c r="BS48" i="52"/>
  <c r="AM48" i="52"/>
  <c r="AL48" i="52"/>
  <c r="AK48" i="52"/>
  <c r="AJ48" i="52"/>
  <c r="B48" i="52"/>
  <c r="C48" i="52"/>
  <c r="BT47" i="52"/>
  <c r="BS47" i="52"/>
  <c r="AM47" i="52"/>
  <c r="AL47" i="52"/>
  <c r="AK47" i="52"/>
  <c r="AJ47" i="52"/>
  <c r="B47" i="52"/>
  <c r="D47" i="52"/>
  <c r="BT46" i="52"/>
  <c r="BS46" i="52"/>
  <c r="AM46" i="52"/>
  <c r="AL46" i="52"/>
  <c r="AK46" i="52"/>
  <c r="AJ46" i="52"/>
  <c r="B46" i="52"/>
  <c r="D46" i="52"/>
  <c r="BT45" i="52"/>
  <c r="BS45" i="52"/>
  <c r="AM45" i="52"/>
  <c r="AL45" i="52"/>
  <c r="AK45" i="52"/>
  <c r="AJ45" i="52"/>
  <c r="B45" i="52"/>
  <c r="D45" i="52"/>
  <c r="BT44" i="52"/>
  <c r="BS44" i="52"/>
  <c r="AM44" i="52"/>
  <c r="AL44" i="52"/>
  <c r="AK44" i="52"/>
  <c r="AJ44" i="52"/>
  <c r="B44" i="52"/>
  <c r="C44" i="52"/>
  <c r="BT43" i="52"/>
  <c r="BS43" i="52"/>
  <c r="AM43" i="52"/>
  <c r="AL43" i="52"/>
  <c r="AK43" i="52"/>
  <c r="AJ43" i="52"/>
  <c r="B43" i="52"/>
  <c r="D43" i="52"/>
  <c r="BT42" i="52"/>
  <c r="BS42" i="52"/>
  <c r="AM42" i="52"/>
  <c r="AL42" i="52"/>
  <c r="AK42" i="52"/>
  <c r="AJ42" i="52"/>
  <c r="B42" i="52"/>
  <c r="D42" i="52"/>
  <c r="BT41" i="52"/>
  <c r="BS41" i="52"/>
  <c r="AM41" i="52"/>
  <c r="AL41" i="52"/>
  <c r="AK41" i="52"/>
  <c r="AJ41" i="52"/>
  <c r="B41" i="52"/>
  <c r="C41" i="52"/>
  <c r="BT40" i="52"/>
  <c r="BS40" i="52"/>
  <c r="AM40" i="52"/>
  <c r="AL40" i="52"/>
  <c r="AK40" i="52"/>
  <c r="AJ40" i="52"/>
  <c r="B40" i="52"/>
  <c r="BT39" i="52"/>
  <c r="BS39" i="52"/>
  <c r="AM39" i="52"/>
  <c r="AL39" i="52"/>
  <c r="AK39" i="52"/>
  <c r="AJ39" i="52"/>
  <c r="B39" i="52"/>
  <c r="BT38" i="52"/>
  <c r="BS38" i="52"/>
  <c r="AM38" i="52"/>
  <c r="AL38" i="52"/>
  <c r="AK38" i="52"/>
  <c r="AJ38" i="52"/>
  <c r="B38" i="52"/>
  <c r="D38" i="52"/>
  <c r="BT37" i="52"/>
  <c r="BS37" i="52"/>
  <c r="AM37" i="52"/>
  <c r="AL37" i="52"/>
  <c r="AK37" i="52"/>
  <c r="AJ37" i="52"/>
  <c r="B37" i="52"/>
  <c r="D37" i="52"/>
  <c r="BT36" i="52"/>
  <c r="BS36" i="52"/>
  <c r="AM36" i="52"/>
  <c r="AL36" i="52"/>
  <c r="AK36" i="52"/>
  <c r="AJ36" i="52"/>
  <c r="B36" i="52"/>
  <c r="BT35" i="52"/>
  <c r="BS35" i="52"/>
  <c r="AM35" i="52"/>
  <c r="AL35" i="52"/>
  <c r="AK35" i="52"/>
  <c r="AJ35" i="52"/>
  <c r="B35" i="52"/>
  <c r="BT34" i="52"/>
  <c r="BS34" i="52"/>
  <c r="AM34" i="52"/>
  <c r="AL34" i="52"/>
  <c r="AK34" i="52"/>
  <c r="AJ34" i="52"/>
  <c r="B34" i="52"/>
  <c r="D34" i="52"/>
  <c r="BT33" i="52"/>
  <c r="BS33" i="52"/>
  <c r="BT32" i="52"/>
  <c r="BS32" i="52"/>
  <c r="AM32" i="52"/>
  <c r="AL32" i="52"/>
  <c r="AK32" i="52"/>
  <c r="AJ32" i="52"/>
  <c r="B32" i="52"/>
  <c r="D32" i="52"/>
  <c r="BT31" i="52"/>
  <c r="BS31" i="52"/>
  <c r="AM31" i="52"/>
  <c r="AL31" i="52"/>
  <c r="AK31" i="52"/>
  <c r="AJ31" i="52"/>
  <c r="B31" i="52"/>
  <c r="BT30" i="52"/>
  <c r="BS30" i="52"/>
  <c r="AM30" i="52"/>
  <c r="AL30" i="52"/>
  <c r="AK30" i="52"/>
  <c r="AJ30" i="52"/>
  <c r="B30" i="52"/>
  <c r="C30" i="52"/>
  <c r="BT29" i="52"/>
  <c r="BS29" i="52"/>
  <c r="AM29" i="52"/>
  <c r="AL29" i="52"/>
  <c r="AK29" i="52"/>
  <c r="AJ29" i="52"/>
  <c r="B29" i="52"/>
  <c r="C29" i="52"/>
  <c r="BT28" i="52"/>
  <c r="BS28" i="52"/>
  <c r="AM28" i="52"/>
  <c r="AL28" i="52"/>
  <c r="AK28" i="52"/>
  <c r="AJ28" i="52"/>
  <c r="B28" i="52"/>
  <c r="D28" i="52"/>
  <c r="BT27" i="52"/>
  <c r="BS27" i="52"/>
  <c r="AM27" i="52"/>
  <c r="AL27" i="52"/>
  <c r="AK27" i="52"/>
  <c r="AJ27" i="52"/>
  <c r="B27" i="52"/>
  <c r="BT26" i="52"/>
  <c r="BS26" i="52"/>
  <c r="AM26" i="52"/>
  <c r="AL26" i="52"/>
  <c r="AK26" i="52"/>
  <c r="AJ26" i="52"/>
  <c r="B26" i="52"/>
  <c r="D26" i="52"/>
  <c r="BT25" i="52"/>
  <c r="BS25" i="52"/>
  <c r="AM25" i="52"/>
  <c r="AL25" i="52"/>
  <c r="AK25" i="52"/>
  <c r="AJ25" i="52"/>
  <c r="B25" i="52"/>
  <c r="C25" i="52"/>
  <c r="BT24" i="52"/>
  <c r="BS24" i="52"/>
  <c r="AM24" i="52"/>
  <c r="AL24" i="52"/>
  <c r="AK24" i="52"/>
  <c r="AJ24" i="52"/>
  <c r="B24" i="52"/>
  <c r="D24" i="52"/>
  <c r="BT23" i="52"/>
  <c r="BS23" i="52"/>
  <c r="AM23" i="52"/>
  <c r="AL23" i="52"/>
  <c r="AK23" i="52"/>
  <c r="AJ23" i="52"/>
  <c r="B23" i="52"/>
  <c r="BT22" i="52"/>
  <c r="BS22" i="52"/>
  <c r="AM22" i="52"/>
  <c r="AL22" i="52"/>
  <c r="AK22" i="52"/>
  <c r="AJ22" i="52"/>
  <c r="B22" i="52"/>
  <c r="D22" i="52"/>
  <c r="BT21" i="52"/>
  <c r="BS21" i="52"/>
  <c r="AM21" i="52"/>
  <c r="AL21" i="52"/>
  <c r="AK21" i="52"/>
  <c r="AJ21" i="52"/>
  <c r="B21" i="52"/>
  <c r="C21" i="52"/>
  <c r="BT20" i="52"/>
  <c r="BS20" i="52"/>
  <c r="AM20" i="52"/>
  <c r="AL20" i="52"/>
  <c r="AK20" i="52"/>
  <c r="AJ20" i="52"/>
  <c r="B20" i="52"/>
  <c r="D20" i="52"/>
  <c r="BT19" i="52"/>
  <c r="BS19" i="52"/>
  <c r="AM19" i="52"/>
  <c r="AL19" i="52"/>
  <c r="AK19" i="52"/>
  <c r="AJ19" i="52"/>
  <c r="B19" i="52"/>
  <c r="BT18" i="52"/>
  <c r="BS18" i="52"/>
  <c r="AM18" i="52"/>
  <c r="AL18" i="52"/>
  <c r="AK18" i="52"/>
  <c r="AJ18" i="52"/>
  <c r="B18" i="52"/>
  <c r="D18" i="52"/>
  <c r="BT17" i="52"/>
  <c r="BS17" i="52"/>
  <c r="AM17" i="52"/>
  <c r="AL17" i="52"/>
  <c r="AK17" i="52"/>
  <c r="AJ17" i="52"/>
  <c r="B17" i="52"/>
  <c r="C17" i="52"/>
  <c r="BT16" i="52"/>
  <c r="BS16" i="52"/>
  <c r="BT15" i="52"/>
  <c r="BS15" i="52"/>
  <c r="AM15" i="52"/>
  <c r="AL15" i="52"/>
  <c r="AK15" i="52"/>
  <c r="AJ15" i="52"/>
  <c r="B15" i="52"/>
  <c r="D15" i="52"/>
  <c r="BT14" i="52"/>
  <c r="BS14" i="52"/>
  <c r="AM14" i="52"/>
  <c r="AL14" i="52"/>
  <c r="AK14" i="52"/>
  <c r="AJ14" i="52"/>
  <c r="B14" i="52"/>
  <c r="C14" i="52"/>
  <c r="BT13" i="52"/>
  <c r="BS13" i="52"/>
  <c r="BT12" i="52"/>
  <c r="BS12" i="52"/>
  <c r="AM12" i="52"/>
  <c r="AL12" i="52"/>
  <c r="AK12" i="52"/>
  <c r="AJ12" i="52"/>
  <c r="B12" i="52"/>
  <c r="C12" i="52"/>
  <c r="BT11" i="52"/>
  <c r="BS11" i="52"/>
  <c r="AM11" i="52"/>
  <c r="AL11" i="52"/>
  <c r="AK11" i="52"/>
  <c r="AJ11" i="52"/>
  <c r="B11" i="52"/>
  <c r="C11" i="52"/>
  <c r="BT10" i="52"/>
  <c r="BS10" i="52"/>
  <c r="BT9" i="52"/>
  <c r="BS9" i="52"/>
  <c r="AM9" i="52"/>
  <c r="AL9" i="52"/>
  <c r="AK9" i="52"/>
  <c r="AJ9" i="52"/>
  <c r="B9" i="52"/>
  <c r="C9" i="52"/>
  <c r="BT8" i="52"/>
  <c r="BS8" i="52"/>
  <c r="AM8" i="52"/>
  <c r="AL8" i="52"/>
  <c r="AK8" i="52"/>
  <c r="AJ8" i="52"/>
  <c r="B8" i="52"/>
  <c r="C8" i="52"/>
  <c r="BT7" i="52"/>
  <c r="BS7" i="52"/>
  <c r="AM7" i="52"/>
  <c r="AL7" i="52"/>
  <c r="AK7" i="52"/>
  <c r="AJ7" i="52"/>
  <c r="B7" i="52"/>
  <c r="D7" i="52"/>
  <c r="BT6" i="52"/>
  <c r="BS6" i="52"/>
  <c r="AM6" i="52"/>
  <c r="AL6" i="52"/>
  <c r="AK6" i="52"/>
  <c r="AJ6" i="52"/>
  <c r="B6" i="52"/>
  <c r="W18" i="35"/>
  <c r="B16" i="35"/>
  <c r="N16" i="35"/>
  <c r="B15" i="35"/>
  <c r="F15" i="35"/>
  <c r="B14" i="35"/>
  <c r="N14" i="35"/>
  <c r="B13" i="35"/>
  <c r="M12" i="35"/>
  <c r="E12" i="35"/>
  <c r="B12" i="35"/>
  <c r="L12" i="35"/>
  <c r="B11" i="35"/>
  <c r="B10" i="35"/>
  <c r="N10" i="35"/>
  <c r="B9" i="35"/>
  <c r="N9" i="35"/>
  <c r="B8" i="35"/>
  <c r="N8" i="35"/>
  <c r="B7" i="35"/>
  <c r="S6" i="35"/>
  <c r="O6" i="35"/>
  <c r="P6" i="35"/>
  <c r="M6" i="35"/>
  <c r="I6" i="35"/>
  <c r="G6" i="35"/>
  <c r="E6" i="35"/>
  <c r="C6" i="35"/>
  <c r="B6" i="35"/>
  <c r="R6" i="35"/>
  <c r="M5" i="35"/>
  <c r="K5" i="35"/>
  <c r="B5" i="35"/>
  <c r="R5" i="35"/>
  <c r="B4" i="35"/>
  <c r="R4" i="35"/>
  <c r="B3" i="35"/>
  <c r="N3" i="35"/>
  <c r="C2" i="35"/>
  <c r="B2" i="35"/>
  <c r="H2" i="35"/>
  <c r="H17" i="35"/>
  <c r="AG74" i="56"/>
  <c r="AG71" i="56"/>
  <c r="AG66" i="56"/>
  <c r="AG62" i="56"/>
  <c r="AG60" i="56"/>
  <c r="AG57" i="56"/>
  <c r="AG53" i="56"/>
  <c r="AG51" i="56"/>
  <c r="AG50" i="56"/>
  <c r="AG46" i="56"/>
  <c r="AG42" i="56"/>
  <c r="AG41" i="56" s="1"/>
  <c r="Z32" i="24"/>
  <c r="AG39" i="56"/>
  <c r="AG36" i="56"/>
  <c r="AG35" i="56"/>
  <c r="AG31" i="56"/>
  <c r="AG30" i="56"/>
  <c r="AG28" i="56"/>
  <c r="AG27" i="56"/>
  <c r="AG21" i="56"/>
  <c r="AG8" i="56"/>
  <c r="J81" i="56"/>
  <c r="AH79" i="56"/>
  <c r="AG79" i="56"/>
  <c r="AD79" i="56"/>
  <c r="F79" i="56"/>
  <c r="V79" i="56"/>
  <c r="AH78" i="56"/>
  <c r="AG78" i="56"/>
  <c r="AD78" i="56"/>
  <c r="F78" i="56"/>
  <c r="V78" i="56"/>
  <c r="AH77" i="56"/>
  <c r="AG77" i="56"/>
  <c r="AD77" i="56"/>
  <c r="F77" i="56"/>
  <c r="V77" i="56"/>
  <c r="AH76" i="56"/>
  <c r="AG76" i="56"/>
  <c r="AD76" i="56"/>
  <c r="F76" i="56"/>
  <c r="V76" i="56"/>
  <c r="AH75" i="56"/>
  <c r="AG75" i="56"/>
  <c r="AD75" i="56"/>
  <c r="F75" i="56"/>
  <c r="V75" i="56"/>
  <c r="AH74" i="56"/>
  <c r="AD74" i="56"/>
  <c r="F74" i="56"/>
  <c r="V74" i="56"/>
  <c r="AH73" i="56"/>
  <c r="AD73" i="56"/>
  <c r="F73" i="56"/>
  <c r="V73" i="56"/>
  <c r="AH72" i="56"/>
  <c r="AG72" i="56"/>
  <c r="AD72" i="56"/>
  <c r="F72" i="56"/>
  <c r="V72" i="56"/>
  <c r="AH71" i="56"/>
  <c r="AD71" i="56"/>
  <c r="F71" i="56"/>
  <c r="V71" i="56"/>
  <c r="AH70" i="56"/>
  <c r="AD70" i="56"/>
  <c r="F70" i="56"/>
  <c r="V70" i="56"/>
  <c r="AH69" i="56"/>
  <c r="AD69" i="56"/>
  <c r="F69" i="56"/>
  <c r="V69" i="56"/>
  <c r="AH68" i="56"/>
  <c r="AD68" i="56"/>
  <c r="F68" i="56"/>
  <c r="V68" i="56"/>
  <c r="AH67" i="56"/>
  <c r="AD67" i="56"/>
  <c r="F67" i="56"/>
  <c r="V67" i="56"/>
  <c r="AH66" i="56"/>
  <c r="AD66" i="56"/>
  <c r="F66" i="56"/>
  <c r="V66" i="56"/>
  <c r="AH65" i="56"/>
  <c r="AD65" i="56"/>
  <c r="F65" i="56"/>
  <c r="V65" i="56"/>
  <c r="AH64" i="56"/>
  <c r="AD64" i="56"/>
  <c r="F64" i="56"/>
  <c r="V64" i="56"/>
  <c r="AH63" i="56"/>
  <c r="AD63" i="56"/>
  <c r="F63" i="56"/>
  <c r="V63" i="56"/>
  <c r="AH62" i="56"/>
  <c r="AD62" i="56"/>
  <c r="F62" i="56"/>
  <c r="V62" i="56"/>
  <c r="AH61" i="56"/>
  <c r="AD61" i="56"/>
  <c r="F61" i="56"/>
  <c r="V61" i="56"/>
  <c r="AH60" i="56"/>
  <c r="AD60" i="56"/>
  <c r="F60" i="56"/>
  <c r="V60" i="56"/>
  <c r="AH59" i="56"/>
  <c r="AD59" i="56"/>
  <c r="F59" i="56"/>
  <c r="V59" i="56"/>
  <c r="AH58" i="56"/>
  <c r="AD58" i="56"/>
  <c r="F58" i="56"/>
  <c r="V58" i="56"/>
  <c r="AH57" i="56"/>
  <c r="AD57" i="56"/>
  <c r="F57" i="56"/>
  <c r="V57" i="56"/>
  <c r="AH56" i="56"/>
  <c r="AD56" i="56"/>
  <c r="F56" i="56"/>
  <c r="V56" i="56"/>
  <c r="AH55" i="56"/>
  <c r="AD55" i="56"/>
  <c r="F55" i="56"/>
  <c r="AH54" i="56"/>
  <c r="AD54" i="56"/>
  <c r="F54" i="56"/>
  <c r="V54" i="56"/>
  <c r="AH53" i="56"/>
  <c r="AD53" i="56"/>
  <c r="F53" i="56"/>
  <c r="AH52" i="56"/>
  <c r="AD52" i="56"/>
  <c r="F52" i="56"/>
  <c r="V52" i="56"/>
  <c r="AH51" i="56"/>
  <c r="AD51" i="56"/>
  <c r="F51" i="56"/>
  <c r="V51" i="56"/>
  <c r="AH50" i="56"/>
  <c r="AD50" i="56"/>
  <c r="F50" i="56"/>
  <c r="V50" i="56"/>
  <c r="AH49" i="56"/>
  <c r="AD49" i="56"/>
  <c r="F49" i="56"/>
  <c r="V49" i="56"/>
  <c r="AH48" i="56"/>
  <c r="AD48" i="56"/>
  <c r="F48" i="56"/>
  <c r="V48" i="56"/>
  <c r="AH47" i="56"/>
  <c r="AD47" i="56"/>
  <c r="F47" i="56"/>
  <c r="V47" i="56"/>
  <c r="AH46" i="56"/>
  <c r="AD46" i="56"/>
  <c r="F46" i="56"/>
  <c r="V46" i="56"/>
  <c r="AH45" i="56"/>
  <c r="AD45" i="56"/>
  <c r="F45" i="56"/>
  <c r="V45" i="56"/>
  <c r="AH44" i="56"/>
  <c r="AD44" i="56"/>
  <c r="F44" i="56"/>
  <c r="AH43" i="56"/>
  <c r="AD43" i="56"/>
  <c r="F43" i="56"/>
  <c r="AH42" i="56"/>
  <c r="AD42" i="56"/>
  <c r="F42" i="56"/>
  <c r="AH40" i="56"/>
  <c r="AD40" i="56"/>
  <c r="F40" i="56"/>
  <c r="V40" i="56"/>
  <c r="AH39" i="56"/>
  <c r="AD39" i="56"/>
  <c r="F39" i="56"/>
  <c r="V39" i="56"/>
  <c r="AH38" i="56"/>
  <c r="AD38" i="56"/>
  <c r="F38" i="56"/>
  <c r="V38" i="56"/>
  <c r="AH37" i="56"/>
  <c r="AD37" i="56"/>
  <c r="F37" i="56"/>
  <c r="V37" i="56"/>
  <c r="AH36" i="56"/>
  <c r="AD36" i="56"/>
  <c r="F36" i="56"/>
  <c r="V36" i="56"/>
  <c r="AH35" i="56"/>
  <c r="AD35" i="56"/>
  <c r="F35" i="56"/>
  <c r="AH34" i="56"/>
  <c r="AD34" i="56"/>
  <c r="F34" i="56"/>
  <c r="V34" i="56"/>
  <c r="AH33" i="56"/>
  <c r="AD33" i="56"/>
  <c r="F33" i="56"/>
  <c r="AH32" i="56"/>
  <c r="AG32" i="56"/>
  <c r="AD32" i="56"/>
  <c r="F32" i="56"/>
  <c r="AD31" i="56"/>
  <c r="F31" i="56"/>
  <c r="AH30" i="56"/>
  <c r="AD30" i="56"/>
  <c r="F30" i="56"/>
  <c r="AH29" i="56"/>
  <c r="AD29" i="56"/>
  <c r="F29" i="56"/>
  <c r="AH28" i="56"/>
  <c r="AD28" i="56"/>
  <c r="F28" i="56"/>
  <c r="AH27" i="56"/>
  <c r="AD27" i="56"/>
  <c r="F27" i="56"/>
  <c r="V27" i="56"/>
  <c r="AH26" i="56"/>
  <c r="AD26" i="56"/>
  <c r="F26" i="56"/>
  <c r="AH25" i="56"/>
  <c r="AH24" i="56"/>
  <c r="AD25" i="56"/>
  <c r="F25" i="56"/>
  <c r="AH23" i="56"/>
  <c r="AD23" i="56"/>
  <c r="F23" i="56"/>
  <c r="V23" i="56"/>
  <c r="AH22" i="56"/>
  <c r="AG22" i="56"/>
  <c r="AD22" i="56"/>
  <c r="F22" i="56"/>
  <c r="V22" i="56"/>
  <c r="AH21" i="56"/>
  <c r="AD21" i="56"/>
  <c r="F21" i="56"/>
  <c r="V21" i="56"/>
  <c r="AH20" i="56"/>
  <c r="AD20" i="56"/>
  <c r="F20" i="56"/>
  <c r="V20" i="56"/>
  <c r="AH19" i="56"/>
  <c r="AG19" i="56"/>
  <c r="AD19" i="56"/>
  <c r="F19" i="56"/>
  <c r="V19" i="56"/>
  <c r="AH18" i="56"/>
  <c r="AG18" i="56"/>
  <c r="AD18" i="56"/>
  <c r="F18" i="56"/>
  <c r="V18" i="56"/>
  <c r="AH17" i="56"/>
  <c r="AH15" i="56"/>
  <c r="AG17" i="56"/>
  <c r="AD17" i="56"/>
  <c r="F17" i="56"/>
  <c r="V17" i="56"/>
  <c r="AH16" i="56"/>
  <c r="AG16" i="56"/>
  <c r="AG15" i="56" s="1"/>
  <c r="AD16" i="56"/>
  <c r="F16" i="56"/>
  <c r="AH14" i="56"/>
  <c r="AG14" i="56"/>
  <c r="AD14" i="56"/>
  <c r="F14" i="56"/>
  <c r="V14" i="56" s="1"/>
  <c r="AH13" i="56"/>
  <c r="AG13" i="56"/>
  <c r="AG12" i="56" s="1"/>
  <c r="AD13" i="56"/>
  <c r="F13" i="56"/>
  <c r="V13" i="56" s="1"/>
  <c r="AH11" i="56"/>
  <c r="AG11" i="56"/>
  <c r="AD11" i="56"/>
  <c r="F11" i="56"/>
  <c r="V11" i="56" s="1"/>
  <c r="AH10" i="56"/>
  <c r="AD10" i="56"/>
  <c r="F10" i="56"/>
  <c r="V10" i="56" s="1"/>
  <c r="AH9" i="56"/>
  <c r="AG9" i="56"/>
  <c r="AD9" i="56"/>
  <c r="F9" i="56"/>
  <c r="V9" i="56" s="1"/>
  <c r="AH8" i="56"/>
  <c r="AD8" i="56"/>
  <c r="F8" i="56"/>
  <c r="V8" i="56" s="1"/>
  <c r="AH7" i="56"/>
  <c r="AG7" i="56"/>
  <c r="AD7" i="56"/>
  <c r="F7" i="56"/>
  <c r="V7" i="56" s="1"/>
  <c r="A7" i="56"/>
  <c r="AH6" i="56"/>
  <c r="AB6" i="56"/>
  <c r="AD6" i="56"/>
  <c r="F6" i="56"/>
  <c r="V6" i="56" s="1"/>
  <c r="G3" i="56"/>
  <c r="G77" i="56"/>
  <c r="C77" i="69"/>
  <c r="D76" i="69"/>
  <c r="C73" i="69"/>
  <c r="L44" i="70"/>
  <c r="D72" i="69"/>
  <c r="C69" i="69"/>
  <c r="D68" i="69"/>
  <c r="C65" i="69"/>
  <c r="D64" i="69"/>
  <c r="C61" i="69"/>
  <c r="L17" i="70"/>
  <c r="D60" i="69"/>
  <c r="C57" i="69"/>
  <c r="D56" i="69"/>
  <c r="C48" i="69"/>
  <c r="C49" i="69"/>
  <c r="D47" i="69"/>
  <c r="C44" i="69"/>
  <c r="C45" i="69"/>
  <c r="D43" i="69"/>
  <c r="C40" i="69"/>
  <c r="C41" i="69"/>
  <c r="D39" i="69"/>
  <c r="C36" i="69"/>
  <c r="C37" i="69"/>
  <c r="D35" i="69"/>
  <c r="C32" i="69"/>
  <c r="C33" i="69"/>
  <c r="D31" i="69"/>
  <c r="C23" i="69"/>
  <c r="C24" i="69"/>
  <c r="D22" i="69"/>
  <c r="C19" i="69"/>
  <c r="C20" i="69"/>
  <c r="D18" i="69"/>
  <c r="C15" i="69"/>
  <c r="C16" i="69"/>
  <c r="D14" i="69"/>
  <c r="D51" i="71"/>
  <c r="D59" i="71"/>
  <c r="D50" i="71"/>
  <c r="D49" i="71"/>
  <c r="D48" i="71"/>
  <c r="D47" i="71"/>
  <c r="D46" i="71"/>
  <c r="D45" i="71"/>
  <c r="D44" i="71"/>
  <c r="D43" i="71"/>
  <c r="D42" i="71"/>
  <c r="D41" i="71"/>
  <c r="D40" i="71"/>
  <c r="B15" i="71"/>
  <c r="B27" i="71"/>
  <c r="B39" i="71"/>
  <c r="B51" i="71"/>
  <c r="B63" i="71"/>
  <c r="B75" i="71"/>
  <c r="B87" i="71"/>
  <c r="B99" i="71"/>
  <c r="B111" i="71"/>
  <c r="B123" i="71"/>
  <c r="B135" i="71"/>
  <c r="B147" i="71"/>
  <c r="B159" i="71"/>
  <c r="B171" i="71"/>
  <c r="B183" i="71"/>
  <c r="B195" i="71"/>
  <c r="B207" i="71"/>
  <c r="B219" i="71"/>
  <c r="B231" i="71"/>
  <c r="Z53" i="70"/>
  <c r="B2342" i="53"/>
  <c r="F26" i="70"/>
  <c r="G26" i="70" s="1"/>
  <c r="B2821" i="53"/>
  <c r="B2581" i="53"/>
  <c r="B2461" i="53"/>
  <c r="F25" i="70"/>
  <c r="F24" i="70"/>
  <c r="G24" i="70" s="1"/>
  <c r="B386" i="53" s="1"/>
  <c r="F23" i="70"/>
  <c r="G23" i="70" s="1"/>
  <c r="B357" i="53" s="1"/>
  <c r="F22" i="70"/>
  <c r="G22" i="70" s="1"/>
  <c r="F21" i="70"/>
  <c r="G21" i="70" s="1"/>
  <c r="B299" i="53" s="1"/>
  <c r="F20" i="70"/>
  <c r="G20" i="70" s="1"/>
  <c r="F19" i="70"/>
  <c r="F27" i="70"/>
  <c r="G27" i="70" s="1"/>
  <c r="F28" i="70"/>
  <c r="G28" i="70" s="1"/>
  <c r="B589" i="53"/>
  <c r="F7" i="70"/>
  <c r="F9" i="70"/>
  <c r="G9" i="70" s="1"/>
  <c r="H3" i="70"/>
  <c r="AA51" i="24"/>
  <c r="Z51" i="24"/>
  <c r="Y51" i="24"/>
  <c r="AA50" i="24"/>
  <c r="Y50" i="24"/>
  <c r="AA49" i="24"/>
  <c r="Z49" i="24"/>
  <c r="F49" i="24"/>
  <c r="S49" i="24" s="1"/>
  <c r="AA48" i="24"/>
  <c r="F48" i="24"/>
  <c r="S48" i="24" s="1"/>
  <c r="AA47" i="24"/>
  <c r="F47" i="24"/>
  <c r="S47" i="24" s="1"/>
  <c r="AA46" i="24"/>
  <c r="F46" i="24"/>
  <c r="S46" i="24" s="1"/>
  <c r="AA45" i="24"/>
  <c r="F45" i="24"/>
  <c r="S45" i="24" s="1"/>
  <c r="AA44" i="24"/>
  <c r="F44" i="24"/>
  <c r="S44" i="24" s="1"/>
  <c r="AA43" i="24"/>
  <c r="F43" i="24"/>
  <c r="S43" i="24" s="1"/>
  <c r="AA42" i="24"/>
  <c r="F42" i="24"/>
  <c r="S42" i="24" s="1"/>
  <c r="AA41" i="24"/>
  <c r="F41" i="24"/>
  <c r="S41" i="24" s="1"/>
  <c r="AA40" i="24"/>
  <c r="F40" i="24"/>
  <c r="S40" i="24" s="1"/>
  <c r="AA39" i="24"/>
  <c r="F39" i="24"/>
  <c r="S39" i="24" s="1"/>
  <c r="AA38" i="24"/>
  <c r="F38" i="24"/>
  <c r="S38" i="24" s="1"/>
  <c r="AA37" i="24"/>
  <c r="F37" i="24"/>
  <c r="S37" i="24" s="1"/>
  <c r="AA36" i="24"/>
  <c r="F36" i="24"/>
  <c r="S36" i="24" s="1"/>
  <c r="AA35" i="24"/>
  <c r="F35" i="24"/>
  <c r="S35" i="24" s="1"/>
  <c r="AA34" i="24"/>
  <c r="F34" i="24"/>
  <c r="S34" i="24" s="1"/>
  <c r="AA32" i="24"/>
  <c r="F32" i="24"/>
  <c r="S32" i="24" s="1"/>
  <c r="AA31" i="24"/>
  <c r="F31" i="24"/>
  <c r="S31" i="24" s="1"/>
  <c r="AA30" i="24"/>
  <c r="F30" i="24"/>
  <c r="S30" i="24" s="1"/>
  <c r="AA29" i="24"/>
  <c r="F29" i="24"/>
  <c r="S29" i="24" s="1"/>
  <c r="AA28" i="24"/>
  <c r="F28" i="24"/>
  <c r="S28" i="24" s="1"/>
  <c r="AA27" i="24"/>
  <c r="F27" i="24"/>
  <c r="S27" i="24" s="1"/>
  <c r="AA26" i="24"/>
  <c r="F26" i="24"/>
  <c r="S26" i="24" s="1"/>
  <c r="AA25" i="24"/>
  <c r="Z25" i="24"/>
  <c r="F25" i="24"/>
  <c r="S25" i="24" s="1"/>
  <c r="F24" i="24"/>
  <c r="S24" i="24" s="1"/>
  <c r="AA23" i="24"/>
  <c r="F23" i="24"/>
  <c r="S23" i="24" s="1"/>
  <c r="AA22" i="24"/>
  <c r="F22" i="24"/>
  <c r="S22" i="24" s="1"/>
  <c r="AA21" i="24"/>
  <c r="F21" i="24"/>
  <c r="S21" i="24" s="1"/>
  <c r="AA20" i="24"/>
  <c r="F20" i="24"/>
  <c r="S20" i="24" s="1"/>
  <c r="AA19" i="24"/>
  <c r="F19" i="24"/>
  <c r="S19" i="24" s="1"/>
  <c r="AA18" i="24"/>
  <c r="F18" i="24"/>
  <c r="S18" i="24" s="1"/>
  <c r="AA16" i="24"/>
  <c r="Z16" i="24"/>
  <c r="F16" i="24"/>
  <c r="S16" i="24" s="1"/>
  <c r="AA15" i="24"/>
  <c r="Z15" i="24"/>
  <c r="F15" i="24"/>
  <c r="S15" i="24" s="1"/>
  <c r="AA14" i="24"/>
  <c r="Z14" i="24"/>
  <c r="Z13" i="24" s="1"/>
  <c r="F14" i="24"/>
  <c r="S14" i="24" s="1"/>
  <c r="AA12" i="24"/>
  <c r="Z12" i="24"/>
  <c r="F12" i="24"/>
  <c r="S12" i="24" s="1"/>
  <c r="AA11" i="24"/>
  <c r="Z11" i="24"/>
  <c r="Z10" i="24" s="1"/>
  <c r="F11" i="24"/>
  <c r="S11" i="24" s="1"/>
  <c r="AA9" i="24"/>
  <c r="F9" i="24"/>
  <c r="S9" i="24" s="1"/>
  <c r="AA8" i="24"/>
  <c r="Z8" i="24"/>
  <c r="F8" i="24"/>
  <c r="S8" i="24" s="1"/>
  <c r="AA7" i="24"/>
  <c r="F7" i="24"/>
  <c r="S7" i="24" s="1"/>
  <c r="AA6" i="24"/>
  <c r="AA5" i="24"/>
  <c r="Z6" i="24"/>
  <c r="Z5" i="24" s="1"/>
  <c r="F6" i="24"/>
  <c r="S6" i="24" s="1"/>
  <c r="G3" i="24"/>
  <c r="G46" i="24"/>
  <c r="B2966" i="53"/>
  <c r="B2953" i="53"/>
  <c r="B2952" i="53"/>
  <c r="B2951" i="53"/>
  <c r="B2949" i="53"/>
  <c r="B2948" i="53"/>
  <c r="B2945" i="53"/>
  <c r="B2907" i="53"/>
  <c r="B2894" i="53"/>
  <c r="B2893" i="53"/>
  <c r="B2892" i="53"/>
  <c r="B2890" i="53"/>
  <c r="B2886" i="53"/>
  <c r="B2847" i="53"/>
  <c r="B2834" i="53"/>
  <c r="B2833" i="53"/>
  <c r="B2832" i="53"/>
  <c r="B2830" i="53"/>
  <c r="B2829" i="53"/>
  <c r="B2826" i="53"/>
  <c r="B2788" i="53"/>
  <c r="B2775" i="53"/>
  <c r="B2774" i="53"/>
  <c r="B2773" i="53"/>
  <c r="B2771" i="53"/>
  <c r="B2770" i="53"/>
  <c r="B2769" i="53"/>
  <c r="E2794" i="53" s="1"/>
  <c r="B2767" i="53"/>
  <c r="B2728" i="53"/>
  <c r="B2715" i="53"/>
  <c r="B2714" i="53"/>
  <c r="B2713" i="53"/>
  <c r="B2711" i="53"/>
  <c r="B2710" i="53"/>
  <c r="B2709" i="53"/>
  <c r="E2734" i="53" s="1"/>
  <c r="B2707" i="53"/>
  <c r="B2668" i="53"/>
  <c r="B2655" i="53"/>
  <c r="B2654" i="53"/>
  <c r="B2653" i="53"/>
  <c r="B2651" i="53"/>
  <c r="B2650" i="53"/>
  <c r="B2647" i="53"/>
  <c r="B2608" i="53"/>
  <c r="B2595" i="53"/>
  <c r="B2594" i="53"/>
  <c r="B2593" i="53"/>
  <c r="B2591" i="53"/>
  <c r="B2590" i="53"/>
  <c r="B2587" i="53"/>
  <c r="B2548" i="53"/>
  <c r="B2535" i="53"/>
  <c r="B2534" i="53"/>
  <c r="B2533" i="53"/>
  <c r="B2531" i="53"/>
  <c r="B2530" i="53"/>
  <c r="B2529" i="53"/>
  <c r="E2554" i="53" s="1"/>
  <c r="B2527" i="53"/>
  <c r="B2488" i="53"/>
  <c r="B2475" i="53"/>
  <c r="B2474" i="53"/>
  <c r="B2473" i="53"/>
  <c r="B2471" i="53"/>
  <c r="B2470" i="53"/>
  <c r="B2469" i="53"/>
  <c r="E2494" i="53" s="1"/>
  <c r="B2467" i="53"/>
  <c r="B2415" i="53"/>
  <c r="B2414" i="53"/>
  <c r="B2413" i="53"/>
  <c r="B2411" i="53"/>
  <c r="B2410" i="53"/>
  <c r="B2409" i="53"/>
  <c r="E2434" i="53" s="1"/>
  <c r="B2407" i="53"/>
  <c r="B2369" i="53"/>
  <c r="B2356" i="53"/>
  <c r="B2355" i="53"/>
  <c r="B2354" i="53"/>
  <c r="B2352" i="53"/>
  <c r="B2351" i="53"/>
  <c r="B2350" i="53"/>
  <c r="E2375" i="53" s="1"/>
  <c r="B2348" i="53"/>
  <c r="B2309" i="53"/>
  <c r="B2296" i="53"/>
  <c r="B2295" i="53"/>
  <c r="B2294" i="53"/>
  <c r="B2292" i="53"/>
  <c r="B2291" i="53"/>
  <c r="B2290" i="53"/>
  <c r="E2315" i="53" s="1"/>
  <c r="B2288" i="53"/>
  <c r="B2237" i="53"/>
  <c r="B2236" i="53"/>
  <c r="B2235" i="53"/>
  <c r="B2233" i="53"/>
  <c r="B2232" i="53"/>
  <c r="B2231" i="53"/>
  <c r="E2256" i="53" s="1"/>
  <c r="B2229" i="53"/>
  <c r="B2191" i="53"/>
  <c r="B2178" i="53"/>
  <c r="B2177" i="53"/>
  <c r="B2176" i="53"/>
  <c r="B2174" i="53"/>
  <c r="B2170" i="53"/>
  <c r="B2133" i="53"/>
  <c r="B2120" i="53"/>
  <c r="B2119" i="53"/>
  <c r="B2118" i="53"/>
  <c r="B2116" i="53"/>
  <c r="B2112" i="53"/>
  <c r="B2075" i="53"/>
  <c r="B2062" i="53"/>
  <c r="B2061" i="53"/>
  <c r="B2060" i="53"/>
  <c r="B2058" i="53"/>
  <c r="B2057" i="53"/>
  <c r="B2056" i="53"/>
  <c r="E2081" i="53" s="1"/>
  <c r="B2054" i="53"/>
  <c r="B2017" i="53"/>
  <c r="B2004" i="53"/>
  <c r="B2003" i="53"/>
  <c r="B2002" i="53"/>
  <c r="B2000" i="53"/>
  <c r="B1999" i="53"/>
  <c r="B1998" i="53"/>
  <c r="E2023" i="53" s="1"/>
  <c r="B1996" i="53"/>
  <c r="B1959" i="53"/>
  <c r="B1946" i="53"/>
  <c r="B1945" i="53"/>
  <c r="B1944" i="53"/>
  <c r="B1942" i="53"/>
  <c r="B1941" i="53"/>
  <c r="B1940" i="53"/>
  <c r="E1965" i="53" s="1"/>
  <c r="B1938" i="53"/>
  <c r="B1900" i="53"/>
  <c r="B1887" i="53"/>
  <c r="B1886" i="53"/>
  <c r="B1885" i="53"/>
  <c r="B1883" i="53"/>
  <c r="B1882" i="53"/>
  <c r="B1881" i="53"/>
  <c r="E1906" i="53" s="1"/>
  <c r="B1879" i="53"/>
  <c r="B1841" i="53"/>
  <c r="B1828" i="53"/>
  <c r="B1827" i="53"/>
  <c r="B1826" i="53"/>
  <c r="B1824" i="53"/>
  <c r="B1823" i="53"/>
  <c r="B1822" i="53"/>
  <c r="E1847" i="53" s="1"/>
  <c r="B1820" i="53"/>
  <c r="B1781" i="53"/>
  <c r="B1768" i="53"/>
  <c r="B1767" i="53"/>
  <c r="B1766" i="53"/>
  <c r="B1764" i="53"/>
  <c r="B1763" i="53"/>
  <c r="B1760" i="53"/>
  <c r="B1721" i="53"/>
  <c r="B1708" i="53"/>
  <c r="B1707" i="53"/>
  <c r="B1706" i="53"/>
  <c r="B1704" i="53"/>
  <c r="B1703" i="53"/>
  <c r="B1702" i="53"/>
  <c r="E1727" i="53" s="1"/>
  <c r="B1700" i="53"/>
  <c r="B1661" i="53"/>
  <c r="B1648" i="53"/>
  <c r="B1647" i="53"/>
  <c r="B1646" i="53"/>
  <c r="B1644" i="53"/>
  <c r="B1643" i="53"/>
  <c r="B1642" i="53"/>
  <c r="E1667" i="53" s="1"/>
  <c r="B1640" i="53"/>
  <c r="B1602" i="53"/>
  <c r="B1589" i="53"/>
  <c r="B1588" i="53"/>
  <c r="B1587" i="53"/>
  <c r="B1585" i="53"/>
  <c r="B1584" i="53"/>
  <c r="B1583" i="53"/>
  <c r="E1608" i="53" s="1"/>
  <c r="B1581" i="53"/>
  <c r="B1542" i="53"/>
  <c r="B1529" i="53"/>
  <c r="B1528" i="53"/>
  <c r="B1527" i="53"/>
  <c r="B1525" i="53"/>
  <c r="B1524" i="53"/>
  <c r="B1523" i="53"/>
  <c r="E1548" i="53" s="1"/>
  <c r="B1521" i="53"/>
  <c r="B1483" i="53"/>
  <c r="B1470" i="53"/>
  <c r="B1469" i="53"/>
  <c r="B1468" i="53"/>
  <c r="B1466" i="53"/>
  <c r="B1465" i="53"/>
  <c r="B1464" i="53"/>
  <c r="E1489" i="53" s="1"/>
  <c r="B1462" i="53"/>
  <c r="B1423" i="53"/>
  <c r="B1410" i="53"/>
  <c r="B1409" i="53"/>
  <c r="B1408" i="53"/>
  <c r="B1406" i="53"/>
  <c r="B1405" i="53"/>
  <c r="B1404" i="53"/>
  <c r="E1429" i="53" s="1"/>
  <c r="B1402" i="53"/>
  <c r="B1363" i="53"/>
  <c r="B1350" i="53"/>
  <c r="B1349" i="53"/>
  <c r="B1348" i="53"/>
  <c r="B1346" i="53"/>
  <c r="B1345" i="53"/>
  <c r="B1344" i="53"/>
  <c r="E1369" i="53" s="1"/>
  <c r="B1342" i="53"/>
  <c r="B1304" i="53"/>
  <c r="B1291" i="53"/>
  <c r="B1290" i="53"/>
  <c r="B1289" i="53"/>
  <c r="B1287" i="53"/>
  <c r="B1286" i="53"/>
  <c r="B1285" i="53"/>
  <c r="E1310" i="53" s="1"/>
  <c r="B1283" i="53"/>
  <c r="B1223" i="53"/>
  <c r="B1164" i="53"/>
  <c r="B1106" i="53"/>
  <c r="B1048" i="53"/>
  <c r="B990" i="53"/>
  <c r="B932" i="53"/>
  <c r="B874" i="53"/>
  <c r="B816" i="53"/>
  <c r="B758" i="53"/>
  <c r="B700" i="53"/>
  <c r="B642" i="53"/>
  <c r="B584" i="53"/>
  <c r="B526" i="53"/>
  <c r="B468" i="53"/>
  <c r="B410" i="53"/>
  <c r="B352" i="53"/>
  <c r="B294" i="53"/>
  <c r="B236" i="53"/>
  <c r="B178" i="53"/>
  <c r="B120" i="53"/>
  <c r="B60" i="53"/>
  <c r="B10" i="53"/>
  <c r="B9" i="53"/>
  <c r="B8" i="53"/>
  <c r="B6" i="53"/>
  <c r="B2" i="53"/>
  <c r="F2" i="3"/>
  <c r="E1" i="3"/>
  <c r="K30" i="56"/>
  <c r="L30" i="56"/>
  <c r="L34" i="70"/>
  <c r="L35" i="70"/>
  <c r="B738" i="53" s="1"/>
  <c r="L9" i="70"/>
  <c r="L10" i="70"/>
  <c r="B129" i="53"/>
  <c r="C78" i="69"/>
  <c r="L39" i="70"/>
  <c r="L32" i="70"/>
  <c r="B709" i="53"/>
  <c r="L8" i="70"/>
  <c r="B69" i="53" s="1"/>
  <c r="B99" i="53"/>
  <c r="N52" i="5"/>
  <c r="AH12" i="56"/>
  <c r="L50" i="70"/>
  <c r="B1086" i="53"/>
  <c r="B3030" i="53"/>
  <c r="B3060" i="53"/>
  <c r="B3090" i="53"/>
  <c r="B3120" i="53"/>
  <c r="C66" i="69"/>
  <c r="C70" i="69"/>
  <c r="L16" i="70"/>
  <c r="B912" i="53" s="1"/>
  <c r="E70" i="9"/>
  <c r="E71" i="9"/>
  <c r="E72" i="9"/>
  <c r="E73" i="9"/>
  <c r="E74" i="9"/>
  <c r="I70" i="9"/>
  <c r="I71" i="9"/>
  <c r="I72" i="9"/>
  <c r="I73" i="9"/>
  <c r="I74" i="9"/>
  <c r="M70" i="9"/>
  <c r="M71" i="9"/>
  <c r="M72" i="9"/>
  <c r="M73" i="9"/>
  <c r="M74" i="9"/>
  <c r="Q70" i="9"/>
  <c r="Q71" i="9"/>
  <c r="Q72" i="9"/>
  <c r="Q73" i="9"/>
  <c r="Q74" i="9"/>
  <c r="E75" i="9"/>
  <c r="E76" i="9"/>
  <c r="E77" i="9"/>
  <c r="E78" i="9"/>
  <c r="I75" i="9"/>
  <c r="I76" i="9"/>
  <c r="I77" i="9"/>
  <c r="I78" i="9"/>
  <c r="M75" i="9"/>
  <c r="M76" i="9"/>
  <c r="M77" i="9"/>
  <c r="M78" i="9"/>
  <c r="Q75" i="9"/>
  <c r="Q76" i="9"/>
  <c r="Q77" i="9"/>
  <c r="Q78" i="9"/>
  <c r="E79" i="9"/>
  <c r="E80" i="9"/>
  <c r="E81" i="9"/>
  <c r="E82" i="9"/>
  <c r="E83" i="9"/>
  <c r="I79" i="9"/>
  <c r="I80" i="9"/>
  <c r="I81" i="9"/>
  <c r="I82" i="9"/>
  <c r="I83" i="9"/>
  <c r="M79" i="9"/>
  <c r="M80" i="9"/>
  <c r="M81" i="9"/>
  <c r="M82" i="9"/>
  <c r="M83" i="9"/>
  <c r="Q79" i="9"/>
  <c r="Q80" i="9"/>
  <c r="Q81" i="9"/>
  <c r="Q82" i="9"/>
  <c r="Q83" i="9"/>
  <c r="F70" i="9"/>
  <c r="F71" i="9"/>
  <c r="F72" i="9"/>
  <c r="F73" i="9"/>
  <c r="F74" i="9"/>
  <c r="J70" i="9"/>
  <c r="J71" i="9"/>
  <c r="J72" i="9"/>
  <c r="J73" i="9"/>
  <c r="J74" i="9"/>
  <c r="N70" i="9"/>
  <c r="N71" i="9"/>
  <c r="N72" i="9"/>
  <c r="N73" i="9"/>
  <c r="N74" i="9"/>
  <c r="R70" i="9"/>
  <c r="R71" i="9"/>
  <c r="R72" i="9"/>
  <c r="R73" i="9"/>
  <c r="R74" i="9"/>
  <c r="F75" i="9"/>
  <c r="F76" i="9"/>
  <c r="F77" i="9"/>
  <c r="F78" i="9"/>
  <c r="J75" i="9"/>
  <c r="J76" i="9"/>
  <c r="J77" i="9"/>
  <c r="J78" i="9"/>
  <c r="N75" i="9"/>
  <c r="N76" i="9"/>
  <c r="N77" i="9"/>
  <c r="N78" i="9"/>
  <c r="R75" i="9"/>
  <c r="R76" i="9"/>
  <c r="R77" i="9"/>
  <c r="R78" i="9"/>
  <c r="F79" i="9"/>
  <c r="F80" i="9"/>
  <c r="F81" i="9"/>
  <c r="F82" i="9"/>
  <c r="F83" i="9"/>
  <c r="J79" i="9"/>
  <c r="J80" i="9"/>
  <c r="J81" i="9"/>
  <c r="J82" i="9"/>
  <c r="J83" i="9"/>
  <c r="N79" i="9"/>
  <c r="N80" i="9"/>
  <c r="N81" i="9"/>
  <c r="N82" i="9"/>
  <c r="N83" i="9"/>
  <c r="R79" i="9"/>
  <c r="R80" i="9"/>
  <c r="R81" i="9"/>
  <c r="R82" i="9"/>
  <c r="R83" i="9"/>
  <c r="G70" i="9"/>
  <c r="G71" i="9"/>
  <c r="G72" i="9"/>
  <c r="G73" i="9"/>
  <c r="G74" i="9"/>
  <c r="K70" i="9"/>
  <c r="K71" i="9"/>
  <c r="K72" i="9"/>
  <c r="K73" i="9"/>
  <c r="K74" i="9"/>
  <c r="O70" i="9"/>
  <c r="O71" i="9"/>
  <c r="O72" i="9"/>
  <c r="O73" i="9"/>
  <c r="O74" i="9"/>
  <c r="S70" i="9"/>
  <c r="S71" i="9"/>
  <c r="S72" i="9"/>
  <c r="S73" i="9"/>
  <c r="S74" i="9"/>
  <c r="G75" i="9"/>
  <c r="G76" i="9"/>
  <c r="G77" i="9"/>
  <c r="G78" i="9"/>
  <c r="K75" i="9"/>
  <c r="K76" i="9"/>
  <c r="K77" i="9"/>
  <c r="K78" i="9"/>
  <c r="O75" i="9"/>
  <c r="O76" i="9"/>
  <c r="O77" i="9"/>
  <c r="O78" i="9"/>
  <c r="S75" i="9"/>
  <c r="S76" i="9"/>
  <c r="S77" i="9"/>
  <c r="S78" i="9"/>
  <c r="G79" i="9"/>
  <c r="G80" i="9"/>
  <c r="G81" i="9"/>
  <c r="G82" i="9"/>
  <c r="G83" i="9"/>
  <c r="K79" i="9"/>
  <c r="K80" i="9"/>
  <c r="K81" i="9"/>
  <c r="K82" i="9"/>
  <c r="K83" i="9"/>
  <c r="O79" i="9"/>
  <c r="O80" i="9"/>
  <c r="O81" i="9"/>
  <c r="O82" i="9"/>
  <c r="O83" i="9"/>
  <c r="S79" i="9"/>
  <c r="S80" i="9"/>
  <c r="S81" i="9"/>
  <c r="S82" i="9"/>
  <c r="S83" i="9"/>
  <c r="D70" i="9"/>
  <c r="D71" i="9"/>
  <c r="D72" i="9"/>
  <c r="D73" i="9"/>
  <c r="D74" i="9"/>
  <c r="H70" i="9"/>
  <c r="H71" i="9"/>
  <c r="H72" i="9"/>
  <c r="H73" i="9"/>
  <c r="H74" i="9"/>
  <c r="L70" i="9"/>
  <c r="L71" i="9"/>
  <c r="L72" i="9"/>
  <c r="L73" i="9"/>
  <c r="L74" i="9"/>
  <c r="P70" i="9"/>
  <c r="P71" i="9"/>
  <c r="P72" i="9"/>
  <c r="P73" i="9"/>
  <c r="P74" i="9"/>
  <c r="D75" i="9"/>
  <c r="D76" i="9"/>
  <c r="D77" i="9"/>
  <c r="D78" i="9"/>
  <c r="H75" i="9"/>
  <c r="H76" i="9"/>
  <c r="H77" i="9"/>
  <c r="H78" i="9"/>
  <c r="L75" i="9"/>
  <c r="L76" i="9"/>
  <c r="L77" i="9"/>
  <c r="L78" i="9"/>
  <c r="P75" i="9"/>
  <c r="P76" i="9"/>
  <c r="P77" i="9"/>
  <c r="P78" i="9"/>
  <c r="D79" i="9"/>
  <c r="D80" i="9"/>
  <c r="D81" i="9"/>
  <c r="D82" i="9"/>
  <c r="D83" i="9"/>
  <c r="H79" i="9"/>
  <c r="H80" i="9"/>
  <c r="H81" i="9"/>
  <c r="H82" i="9"/>
  <c r="H83" i="9"/>
  <c r="L79" i="9"/>
  <c r="L80" i="9"/>
  <c r="L81" i="9"/>
  <c r="L82" i="9"/>
  <c r="L83" i="9"/>
  <c r="P79" i="9"/>
  <c r="P80" i="9"/>
  <c r="P81" i="9"/>
  <c r="P82" i="9"/>
  <c r="P83" i="9"/>
  <c r="L3" i="9"/>
  <c r="L7" i="9"/>
  <c r="L4" i="9"/>
  <c r="L5" i="9"/>
  <c r="L6" i="9"/>
  <c r="L11" i="9"/>
  <c r="L12" i="9"/>
  <c r="L13" i="9"/>
  <c r="L8" i="9"/>
  <c r="L9" i="9"/>
  <c r="L10" i="9"/>
  <c r="H18" i="9"/>
  <c r="H19" i="9"/>
  <c r="H14" i="9"/>
  <c r="H15" i="9"/>
  <c r="H16" i="9"/>
  <c r="H17" i="9"/>
  <c r="H25" i="9"/>
  <c r="H20" i="9"/>
  <c r="H21" i="9"/>
  <c r="H22" i="9"/>
  <c r="H23" i="9"/>
  <c r="H24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L39" i="9"/>
  <c r="L40" i="9"/>
  <c r="L41" i="9"/>
  <c r="L42" i="9"/>
  <c r="L43" i="9"/>
  <c r="L44" i="9"/>
  <c r="P45" i="9"/>
  <c r="P46" i="9"/>
  <c r="P47" i="9"/>
  <c r="P48" i="9"/>
  <c r="H49" i="9"/>
  <c r="H51" i="9"/>
  <c r="H53" i="9"/>
  <c r="H50" i="9"/>
  <c r="H52" i="9"/>
  <c r="H54" i="9"/>
  <c r="H55" i="9"/>
  <c r="H56" i="9"/>
  <c r="H58" i="9"/>
  <c r="H57" i="9"/>
  <c r="H59" i="9"/>
  <c r="H60" i="9"/>
  <c r="H61" i="9"/>
  <c r="H62" i="9"/>
  <c r="H63" i="9"/>
  <c r="H64" i="9"/>
  <c r="H65" i="9"/>
  <c r="H67" i="9"/>
  <c r="H68" i="9"/>
  <c r="H66" i="9"/>
  <c r="E3" i="9"/>
  <c r="E7" i="9"/>
  <c r="E4" i="9"/>
  <c r="E5" i="9"/>
  <c r="E6" i="9"/>
  <c r="I3" i="9"/>
  <c r="I7" i="9"/>
  <c r="I4" i="9"/>
  <c r="I5" i="9"/>
  <c r="I6" i="9"/>
  <c r="M3" i="9"/>
  <c r="M7" i="9"/>
  <c r="M4" i="9"/>
  <c r="M5" i="9"/>
  <c r="M6" i="9"/>
  <c r="Q3" i="9"/>
  <c r="Q7" i="9"/>
  <c r="Q4" i="9"/>
  <c r="Q5" i="9"/>
  <c r="Q6" i="9"/>
  <c r="E11" i="9"/>
  <c r="E12" i="9"/>
  <c r="E13" i="9"/>
  <c r="E8" i="9"/>
  <c r="E9" i="9"/>
  <c r="E10" i="9"/>
  <c r="I11" i="9"/>
  <c r="I12" i="9"/>
  <c r="I13" i="9"/>
  <c r="I8" i="9"/>
  <c r="I9" i="9"/>
  <c r="I10" i="9"/>
  <c r="M11" i="9"/>
  <c r="M12" i="9"/>
  <c r="M13" i="9"/>
  <c r="M8" i="9"/>
  <c r="M9" i="9"/>
  <c r="M10" i="9"/>
  <c r="Q11" i="9"/>
  <c r="Q12" i="9"/>
  <c r="Q13" i="9"/>
  <c r="Q8" i="9"/>
  <c r="Q9" i="9"/>
  <c r="Q10" i="9"/>
  <c r="E18" i="9"/>
  <c r="E19" i="9"/>
  <c r="E14" i="9"/>
  <c r="E15" i="9"/>
  <c r="E16" i="9"/>
  <c r="E17" i="9"/>
  <c r="I19" i="9"/>
  <c r="I14" i="9"/>
  <c r="M18" i="9"/>
  <c r="M19" i="9"/>
  <c r="M14" i="9"/>
  <c r="M15" i="9"/>
  <c r="M16" i="9"/>
  <c r="M17" i="9"/>
  <c r="Q18" i="9"/>
  <c r="Q19" i="9"/>
  <c r="Q14" i="9"/>
  <c r="Q15" i="9"/>
  <c r="Q16" i="9"/>
  <c r="Q17" i="9"/>
  <c r="E25" i="9"/>
  <c r="E20" i="9"/>
  <c r="E21" i="9"/>
  <c r="E22" i="9"/>
  <c r="E23" i="9"/>
  <c r="E24" i="9"/>
  <c r="I25" i="9"/>
  <c r="I20" i="9"/>
  <c r="I21" i="9"/>
  <c r="I22" i="9"/>
  <c r="I23" i="9"/>
  <c r="I24" i="9"/>
  <c r="M25" i="9"/>
  <c r="M20" i="9"/>
  <c r="M21" i="9"/>
  <c r="M22" i="9"/>
  <c r="M23" i="9"/>
  <c r="M24" i="9"/>
  <c r="Q25" i="9"/>
  <c r="Q20" i="9"/>
  <c r="Q21" i="9"/>
  <c r="Q22" i="9"/>
  <c r="Q23" i="9"/>
  <c r="Q24" i="9"/>
  <c r="E32" i="9"/>
  <c r="E26" i="9"/>
  <c r="E28" i="9"/>
  <c r="E30" i="9"/>
  <c r="E27" i="9"/>
  <c r="E29" i="9"/>
  <c r="E31" i="9"/>
  <c r="I26" i="9"/>
  <c r="I27" i="9"/>
  <c r="I28" i="9"/>
  <c r="I29" i="9"/>
  <c r="I30" i="9"/>
  <c r="I31" i="9"/>
  <c r="I32" i="9"/>
  <c r="M32" i="9"/>
  <c r="M26" i="9"/>
  <c r="M28" i="9"/>
  <c r="M30" i="9"/>
  <c r="M27" i="9"/>
  <c r="M29" i="9"/>
  <c r="M31" i="9"/>
  <c r="Q26" i="9"/>
  <c r="Q27" i="9"/>
  <c r="Q28" i="9"/>
  <c r="Q29" i="9"/>
  <c r="Q30" i="9"/>
  <c r="Q31" i="9"/>
  <c r="Q32" i="9"/>
  <c r="E33" i="9"/>
  <c r="E35" i="9"/>
  <c r="E37" i="9"/>
  <c r="E34" i="9"/>
  <c r="E36" i="9"/>
  <c r="E38" i="9"/>
  <c r="I33" i="9"/>
  <c r="I34" i="9"/>
  <c r="I35" i="9"/>
  <c r="I36" i="9"/>
  <c r="I37" i="9"/>
  <c r="I38" i="9"/>
  <c r="M33" i="9"/>
  <c r="M35" i="9"/>
  <c r="M37" i="9"/>
  <c r="M38" i="9"/>
  <c r="M34" i="9"/>
  <c r="M36" i="9"/>
  <c r="Q33" i="9"/>
  <c r="Q34" i="9"/>
  <c r="Q35" i="9"/>
  <c r="Q36" i="9"/>
  <c r="Q37" i="9"/>
  <c r="Q38" i="9"/>
  <c r="E39" i="9"/>
  <c r="E40" i="9"/>
  <c r="E41" i="9"/>
  <c r="E42" i="9"/>
  <c r="E43" i="9"/>
  <c r="E44" i="9"/>
  <c r="I39" i="9"/>
  <c r="I40" i="9"/>
  <c r="I41" i="9"/>
  <c r="I42" i="9"/>
  <c r="I43" i="9"/>
  <c r="I44" i="9"/>
  <c r="M39" i="9"/>
  <c r="M40" i="9"/>
  <c r="M41" i="9"/>
  <c r="M42" i="9"/>
  <c r="M43" i="9"/>
  <c r="M44" i="9"/>
  <c r="Q39" i="9"/>
  <c r="Q40" i="9"/>
  <c r="Q41" i="9"/>
  <c r="Q42" i="9"/>
  <c r="Q43" i="9"/>
  <c r="Q44" i="9"/>
  <c r="E48" i="9"/>
  <c r="E45" i="9"/>
  <c r="E46" i="9"/>
  <c r="E47" i="9"/>
  <c r="I45" i="9"/>
  <c r="I46" i="9"/>
  <c r="I47" i="9"/>
  <c r="I48" i="9"/>
  <c r="M47" i="9"/>
  <c r="M48" i="9"/>
  <c r="M46" i="9"/>
  <c r="M45" i="9"/>
  <c r="Q47" i="9"/>
  <c r="Q48" i="9"/>
  <c r="Q46" i="9"/>
  <c r="Q45" i="9"/>
  <c r="E49" i="9"/>
  <c r="E50" i="9"/>
  <c r="E51" i="9"/>
  <c r="E52" i="9"/>
  <c r="E53" i="9"/>
  <c r="E54" i="9"/>
  <c r="I49" i="9"/>
  <c r="I50" i="9"/>
  <c r="I51" i="9"/>
  <c r="I52" i="9"/>
  <c r="I53" i="9"/>
  <c r="I54" i="9"/>
  <c r="M50" i="9"/>
  <c r="M52" i="9"/>
  <c r="M54" i="9"/>
  <c r="M49" i="9"/>
  <c r="M51" i="9"/>
  <c r="M53" i="9"/>
  <c r="Q49" i="9"/>
  <c r="Q53" i="9"/>
  <c r="Q52" i="9"/>
  <c r="Q51" i="9"/>
  <c r="Q50" i="9"/>
  <c r="Q54" i="9"/>
  <c r="E55" i="9"/>
  <c r="E56" i="9"/>
  <c r="E57" i="9"/>
  <c r="E58" i="9"/>
  <c r="E59" i="9"/>
  <c r="I55" i="9"/>
  <c r="I56" i="9"/>
  <c r="I57" i="9"/>
  <c r="I58" i="9"/>
  <c r="I59" i="9"/>
  <c r="M55" i="9"/>
  <c r="M56" i="9"/>
  <c r="M57" i="9"/>
  <c r="M59" i="9"/>
  <c r="M58" i="9"/>
  <c r="Q55" i="9"/>
  <c r="Q56" i="9"/>
  <c r="Q59" i="9"/>
  <c r="Q58" i="9"/>
  <c r="Q57" i="9"/>
  <c r="E60" i="9"/>
  <c r="E61" i="9"/>
  <c r="E62" i="9"/>
  <c r="E63" i="9"/>
  <c r="E64" i="9"/>
  <c r="I60" i="9"/>
  <c r="I61" i="9"/>
  <c r="I62" i="9"/>
  <c r="I63" i="9"/>
  <c r="I64" i="9"/>
  <c r="M60" i="9"/>
  <c r="M61" i="9"/>
  <c r="M62" i="9"/>
  <c r="M63" i="9"/>
  <c r="M64" i="9"/>
  <c r="Q60" i="9"/>
  <c r="Q61" i="9"/>
  <c r="Q62" i="9"/>
  <c r="Q63" i="9"/>
  <c r="Q64" i="9"/>
  <c r="E65" i="9"/>
  <c r="E66" i="9"/>
  <c r="E67" i="9"/>
  <c r="E68" i="9"/>
  <c r="I65" i="9"/>
  <c r="I66" i="9"/>
  <c r="I67" i="9"/>
  <c r="I68" i="9"/>
  <c r="M65" i="9"/>
  <c r="M66" i="9"/>
  <c r="M67" i="9"/>
  <c r="M68" i="9"/>
  <c r="Q65" i="9"/>
  <c r="Q66" i="9"/>
  <c r="Q67" i="9"/>
  <c r="Q68" i="9"/>
  <c r="E4" i="11"/>
  <c r="E3" i="11"/>
  <c r="I4" i="11"/>
  <c r="I3" i="11"/>
  <c r="M4" i="11"/>
  <c r="M3" i="11"/>
  <c r="Q4" i="11"/>
  <c r="Q3" i="11"/>
  <c r="E5" i="11"/>
  <c r="E6" i="11"/>
  <c r="E7" i="11"/>
  <c r="E8" i="11"/>
  <c r="E9" i="11"/>
  <c r="E10" i="11"/>
  <c r="I5" i="11"/>
  <c r="I6" i="11"/>
  <c r="I7" i="11"/>
  <c r="I8" i="11"/>
  <c r="I9" i="11"/>
  <c r="I10" i="11"/>
  <c r="M5" i="11"/>
  <c r="M6" i="11"/>
  <c r="M7" i="11"/>
  <c r="M8" i="11"/>
  <c r="M10" i="11"/>
  <c r="M9" i="11"/>
  <c r="Q5" i="11"/>
  <c r="Q6" i="11"/>
  <c r="Q7" i="11"/>
  <c r="Q8" i="11"/>
  <c r="Q9" i="11"/>
  <c r="Q10" i="11"/>
  <c r="E12" i="11"/>
  <c r="E13" i="11"/>
  <c r="E11" i="11"/>
  <c r="E14" i="11"/>
  <c r="E16" i="11"/>
  <c r="E15" i="11"/>
  <c r="I12" i="11"/>
  <c r="I13" i="11"/>
  <c r="I14" i="11"/>
  <c r="I15" i="11"/>
  <c r="I16" i="11"/>
  <c r="I11" i="11"/>
  <c r="M11" i="11"/>
  <c r="M12" i="11"/>
  <c r="M15" i="11"/>
  <c r="M14" i="11"/>
  <c r="M16" i="11"/>
  <c r="M13" i="11"/>
  <c r="Q11" i="11"/>
  <c r="Q12" i="11"/>
  <c r="Q13" i="11"/>
  <c r="Q14" i="11"/>
  <c r="Q15" i="11"/>
  <c r="Q16" i="11"/>
  <c r="E17" i="11"/>
  <c r="E19" i="11"/>
  <c r="E20" i="11"/>
  <c r="E18" i="11"/>
  <c r="I19" i="11"/>
  <c r="I20" i="11"/>
  <c r="I17" i="11"/>
  <c r="I18" i="11"/>
  <c r="M20" i="11"/>
  <c r="M18" i="11"/>
  <c r="M19" i="11"/>
  <c r="M17" i="11"/>
  <c r="Q19" i="11"/>
  <c r="Q20" i="11"/>
  <c r="Q17" i="11"/>
  <c r="Q18" i="11"/>
  <c r="E21" i="11"/>
  <c r="E24" i="11"/>
  <c r="E22" i="11"/>
  <c r="E23" i="11"/>
  <c r="I23" i="11"/>
  <c r="I24" i="11"/>
  <c r="I21" i="11"/>
  <c r="I22" i="11"/>
  <c r="M23" i="11"/>
  <c r="M22" i="11"/>
  <c r="M24" i="11"/>
  <c r="M21" i="11"/>
  <c r="Q23" i="11"/>
  <c r="Q24" i="11"/>
  <c r="Q21" i="11"/>
  <c r="Q22" i="11"/>
  <c r="E27" i="11"/>
  <c r="E30" i="11"/>
  <c r="E26" i="11"/>
  <c r="E28" i="11"/>
  <c r="E29" i="11"/>
  <c r="E25" i="11"/>
  <c r="I29" i="11"/>
  <c r="I30" i="11"/>
  <c r="I25" i="11"/>
  <c r="I26" i="11"/>
  <c r="I27" i="11"/>
  <c r="I28" i="11"/>
  <c r="M25" i="11"/>
  <c r="M28" i="11"/>
  <c r="M30" i="11"/>
  <c r="M26" i="11"/>
  <c r="M29" i="11"/>
  <c r="M27" i="11"/>
  <c r="Q29" i="11"/>
  <c r="Q30" i="11"/>
  <c r="Q25" i="11"/>
  <c r="Q26" i="11"/>
  <c r="Q27" i="11"/>
  <c r="Q28" i="11"/>
  <c r="E33" i="11"/>
  <c r="E34" i="11"/>
  <c r="E31" i="11"/>
  <c r="E32" i="11"/>
  <c r="I33" i="11"/>
  <c r="I34" i="11"/>
  <c r="I31" i="11"/>
  <c r="I32" i="11"/>
  <c r="M33" i="11"/>
  <c r="M34" i="11"/>
  <c r="M32" i="11"/>
  <c r="M31" i="11"/>
  <c r="Q33" i="11"/>
  <c r="Q34" i="11"/>
  <c r="Q31" i="11"/>
  <c r="Q32" i="11"/>
  <c r="E38" i="11"/>
  <c r="E35" i="11"/>
  <c r="E36" i="11"/>
  <c r="E37" i="11"/>
  <c r="I38" i="11"/>
  <c r="I35" i="11"/>
  <c r="I36" i="11"/>
  <c r="I37" i="11"/>
  <c r="M38" i="11"/>
  <c r="M35" i="11"/>
  <c r="M36" i="11"/>
  <c r="M37" i="11"/>
  <c r="Q38" i="11"/>
  <c r="Q35" i="11"/>
  <c r="Q36" i="11"/>
  <c r="Q37" i="11"/>
  <c r="E40" i="11"/>
  <c r="E41" i="11"/>
  <c r="E42" i="11"/>
  <c r="E39" i="11"/>
  <c r="I40" i="11"/>
  <c r="I41" i="11"/>
  <c r="I42" i="11"/>
  <c r="I39" i="11"/>
  <c r="M40" i="11"/>
  <c r="M41" i="11"/>
  <c r="M42" i="11"/>
  <c r="M39" i="11"/>
  <c r="Q40" i="11"/>
  <c r="Q41" i="11"/>
  <c r="Q42" i="11"/>
  <c r="Q39" i="11"/>
  <c r="P3" i="9"/>
  <c r="P7" i="9"/>
  <c r="P4" i="9"/>
  <c r="P5" i="9"/>
  <c r="P6" i="9"/>
  <c r="P11" i="9"/>
  <c r="P12" i="9"/>
  <c r="P13" i="9"/>
  <c r="P8" i="9"/>
  <c r="P9" i="9"/>
  <c r="P10" i="9"/>
  <c r="P18" i="9"/>
  <c r="P19" i="9"/>
  <c r="P14" i="9"/>
  <c r="P15" i="9"/>
  <c r="P16" i="9"/>
  <c r="P17" i="9"/>
  <c r="L25" i="9"/>
  <c r="L20" i="9"/>
  <c r="L21" i="9"/>
  <c r="L22" i="9"/>
  <c r="L23" i="9"/>
  <c r="L24" i="9"/>
  <c r="L26" i="9"/>
  <c r="L27" i="9"/>
  <c r="L28" i="9"/>
  <c r="L29" i="9"/>
  <c r="L30" i="9"/>
  <c r="L31" i="9"/>
  <c r="L32" i="9"/>
  <c r="L34" i="9"/>
  <c r="L35" i="9"/>
  <c r="L36" i="9"/>
  <c r="L37" i="9"/>
  <c r="L38" i="9"/>
  <c r="L33" i="9"/>
  <c r="H39" i="9"/>
  <c r="H40" i="9"/>
  <c r="H41" i="9"/>
  <c r="H42" i="9"/>
  <c r="H43" i="9"/>
  <c r="H44" i="9"/>
  <c r="H45" i="9"/>
  <c r="H47" i="9"/>
  <c r="H48" i="9"/>
  <c r="H46" i="9"/>
  <c r="L52" i="9"/>
  <c r="L51" i="9"/>
  <c r="L50" i="9"/>
  <c r="L54" i="9"/>
  <c r="L53" i="9"/>
  <c r="L49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23" i="11"/>
  <c r="P24" i="11"/>
  <c r="P21" i="11"/>
  <c r="P22" i="11"/>
  <c r="H29" i="11"/>
  <c r="H30" i="11"/>
  <c r="H25" i="11"/>
  <c r="H26" i="11"/>
  <c r="H27" i="11"/>
  <c r="H28" i="11"/>
  <c r="P29" i="11"/>
  <c r="P30" i="11"/>
  <c r="P25" i="11"/>
  <c r="P26" i="11"/>
  <c r="P27" i="11"/>
  <c r="P28" i="11"/>
  <c r="H31" i="11"/>
  <c r="H32" i="11"/>
  <c r="H33" i="11"/>
  <c r="H34" i="11"/>
  <c r="P33" i="11"/>
  <c r="P34" i="11"/>
  <c r="P31" i="11"/>
  <c r="P32" i="11"/>
  <c r="H36" i="11"/>
  <c r="H37" i="11"/>
  <c r="H38" i="11"/>
  <c r="H35" i="11"/>
  <c r="P38" i="11"/>
  <c r="P35" i="11"/>
  <c r="P36" i="11"/>
  <c r="P37" i="11"/>
  <c r="H40" i="11"/>
  <c r="H41" i="11"/>
  <c r="H42" i="11"/>
  <c r="H39" i="11"/>
  <c r="P40" i="11"/>
  <c r="P41" i="11"/>
  <c r="P42" i="11"/>
  <c r="P39" i="11"/>
  <c r="F3" i="9"/>
  <c r="F7" i="9"/>
  <c r="F4" i="9"/>
  <c r="F5" i="9"/>
  <c r="F6" i="9"/>
  <c r="J3" i="9"/>
  <c r="J7" i="9"/>
  <c r="J4" i="9"/>
  <c r="J5" i="9"/>
  <c r="J6" i="9"/>
  <c r="N3" i="9"/>
  <c r="N7" i="9"/>
  <c r="N4" i="9"/>
  <c r="N5" i="9"/>
  <c r="N6" i="9"/>
  <c r="R3" i="9"/>
  <c r="R7" i="9"/>
  <c r="R4" i="9"/>
  <c r="R5" i="9"/>
  <c r="R6" i="9"/>
  <c r="F11" i="9"/>
  <c r="F12" i="9"/>
  <c r="F13" i="9"/>
  <c r="F8" i="9"/>
  <c r="F9" i="9"/>
  <c r="F10" i="9"/>
  <c r="J11" i="9"/>
  <c r="J12" i="9"/>
  <c r="J13" i="9"/>
  <c r="J8" i="9"/>
  <c r="J9" i="9"/>
  <c r="J10" i="9"/>
  <c r="N11" i="9"/>
  <c r="N12" i="9"/>
  <c r="N13" i="9"/>
  <c r="N8" i="9"/>
  <c r="N9" i="9"/>
  <c r="N10" i="9"/>
  <c r="R11" i="9"/>
  <c r="R12" i="9"/>
  <c r="R13" i="9"/>
  <c r="R8" i="9"/>
  <c r="R9" i="9"/>
  <c r="R10" i="9"/>
  <c r="F18" i="9"/>
  <c r="F19" i="9"/>
  <c r="F14" i="9"/>
  <c r="F15" i="9"/>
  <c r="F16" i="9"/>
  <c r="F17" i="9"/>
  <c r="J18" i="9"/>
  <c r="J19" i="9"/>
  <c r="J14" i="9"/>
  <c r="J15" i="9"/>
  <c r="J16" i="9"/>
  <c r="J17" i="9"/>
  <c r="N14" i="9"/>
  <c r="N15" i="9"/>
  <c r="N16" i="9"/>
  <c r="N17" i="9"/>
  <c r="N18" i="9"/>
  <c r="N19" i="9"/>
  <c r="R18" i="9"/>
  <c r="R19" i="9"/>
  <c r="R14" i="9"/>
  <c r="R15" i="9"/>
  <c r="R16" i="9"/>
  <c r="R17" i="9"/>
  <c r="F25" i="9"/>
  <c r="F20" i="9"/>
  <c r="F21" i="9"/>
  <c r="F22" i="9"/>
  <c r="F23" i="9"/>
  <c r="F24" i="9"/>
  <c r="J25" i="9"/>
  <c r="J20" i="9"/>
  <c r="J21" i="9"/>
  <c r="J22" i="9"/>
  <c r="J23" i="9"/>
  <c r="J24" i="9"/>
  <c r="N24" i="9"/>
  <c r="N20" i="9"/>
  <c r="N25" i="9"/>
  <c r="N21" i="9"/>
  <c r="N22" i="9"/>
  <c r="N23" i="9"/>
  <c r="R25" i="9"/>
  <c r="R20" i="9"/>
  <c r="R21" i="9"/>
  <c r="R22" i="9"/>
  <c r="R23" i="9"/>
  <c r="R24" i="9"/>
  <c r="F26" i="9"/>
  <c r="F27" i="9"/>
  <c r="F28" i="9"/>
  <c r="F29" i="9"/>
  <c r="F30" i="9"/>
  <c r="F31" i="9"/>
  <c r="F32" i="9"/>
  <c r="J26" i="9"/>
  <c r="J27" i="9"/>
  <c r="J28" i="9"/>
  <c r="J29" i="9"/>
  <c r="J30" i="9"/>
  <c r="J31" i="9"/>
  <c r="J32" i="9"/>
  <c r="N26" i="9"/>
  <c r="N27" i="9"/>
  <c r="N28" i="9"/>
  <c r="N29" i="9"/>
  <c r="N30" i="9"/>
  <c r="N31" i="9"/>
  <c r="N32" i="9"/>
  <c r="R26" i="9"/>
  <c r="R27" i="9"/>
  <c r="R28" i="9"/>
  <c r="R29" i="9"/>
  <c r="R30" i="9"/>
  <c r="R31" i="9"/>
  <c r="R32" i="9"/>
  <c r="F33" i="9"/>
  <c r="F34" i="9"/>
  <c r="F35" i="9"/>
  <c r="F36" i="9"/>
  <c r="F37" i="9"/>
  <c r="F38" i="9"/>
  <c r="J33" i="9"/>
  <c r="J34" i="9"/>
  <c r="J35" i="9"/>
  <c r="J36" i="9"/>
  <c r="J37" i="9"/>
  <c r="J38" i="9"/>
  <c r="N33" i="9"/>
  <c r="N34" i="9"/>
  <c r="N35" i="9"/>
  <c r="N36" i="9"/>
  <c r="N37" i="9"/>
  <c r="N38" i="9"/>
  <c r="R33" i="9"/>
  <c r="R34" i="9"/>
  <c r="R35" i="9"/>
  <c r="R36" i="9"/>
  <c r="R37" i="9"/>
  <c r="R38" i="9"/>
  <c r="F39" i="9"/>
  <c r="F40" i="9"/>
  <c r="F41" i="9"/>
  <c r="F42" i="9"/>
  <c r="F43" i="9"/>
  <c r="F44" i="9"/>
  <c r="J39" i="9"/>
  <c r="J40" i="9"/>
  <c r="J41" i="9"/>
  <c r="J42" i="9"/>
  <c r="J43" i="9"/>
  <c r="J44" i="9"/>
  <c r="N39" i="9"/>
  <c r="N40" i="9"/>
  <c r="N41" i="9"/>
  <c r="N42" i="9"/>
  <c r="N43" i="9"/>
  <c r="N44" i="9"/>
  <c r="R39" i="9"/>
  <c r="R40" i="9"/>
  <c r="R41" i="9"/>
  <c r="R42" i="9"/>
  <c r="R43" i="9"/>
  <c r="R44" i="9"/>
  <c r="F45" i="9"/>
  <c r="F46" i="9"/>
  <c r="F47" i="9"/>
  <c r="F48" i="9"/>
  <c r="J45" i="9"/>
  <c r="J46" i="9"/>
  <c r="J47" i="9"/>
  <c r="J48" i="9"/>
  <c r="N45" i="9"/>
  <c r="N46" i="9"/>
  <c r="N47" i="9"/>
  <c r="N48" i="9"/>
  <c r="R45" i="9"/>
  <c r="R46" i="9"/>
  <c r="R47" i="9"/>
  <c r="R48" i="9"/>
  <c r="F49" i="9"/>
  <c r="F50" i="9"/>
  <c r="F51" i="9"/>
  <c r="F52" i="9"/>
  <c r="F53" i="9"/>
  <c r="F54" i="9"/>
  <c r="J49" i="9"/>
  <c r="J50" i="9"/>
  <c r="J51" i="9"/>
  <c r="J52" i="9"/>
  <c r="J53" i="9"/>
  <c r="J54" i="9"/>
  <c r="N49" i="9"/>
  <c r="N50" i="9"/>
  <c r="N51" i="9"/>
  <c r="N52" i="9"/>
  <c r="N53" i="9"/>
  <c r="N54" i="9"/>
  <c r="R49" i="9"/>
  <c r="R50" i="9"/>
  <c r="R51" i="9"/>
  <c r="R52" i="9"/>
  <c r="R53" i="9"/>
  <c r="R54" i="9"/>
  <c r="F55" i="9"/>
  <c r="F56" i="9"/>
  <c r="F57" i="9"/>
  <c r="F58" i="9"/>
  <c r="F59" i="9"/>
  <c r="J55" i="9"/>
  <c r="J56" i="9"/>
  <c r="J57" i="9"/>
  <c r="J58" i="9"/>
  <c r="J59" i="9"/>
  <c r="N55" i="9"/>
  <c r="N56" i="9"/>
  <c r="N57" i="9"/>
  <c r="N58" i="9"/>
  <c r="N59" i="9"/>
  <c r="R55" i="9"/>
  <c r="R56" i="9"/>
  <c r="R57" i="9"/>
  <c r="R58" i="9"/>
  <c r="R59" i="9"/>
  <c r="F60" i="9"/>
  <c r="F61" i="9"/>
  <c r="F62" i="9"/>
  <c r="F63" i="9"/>
  <c r="F64" i="9"/>
  <c r="J60" i="9"/>
  <c r="J61" i="9"/>
  <c r="J62" i="9"/>
  <c r="J63" i="9"/>
  <c r="J64" i="9"/>
  <c r="N60" i="9"/>
  <c r="N61" i="9"/>
  <c r="N62" i="9"/>
  <c r="N63" i="9"/>
  <c r="N64" i="9"/>
  <c r="R60" i="9"/>
  <c r="R61" i="9"/>
  <c r="R62" i="9"/>
  <c r="R63" i="9"/>
  <c r="R64" i="9"/>
  <c r="F65" i="9"/>
  <c r="F66" i="9"/>
  <c r="F67" i="9"/>
  <c r="F68" i="9"/>
  <c r="J65" i="9"/>
  <c r="J67" i="9"/>
  <c r="J68" i="9"/>
  <c r="J66" i="9"/>
  <c r="N66" i="9"/>
  <c r="N67" i="9"/>
  <c r="N68" i="9"/>
  <c r="N65" i="9"/>
  <c r="R65" i="9"/>
  <c r="R66" i="9"/>
  <c r="R67" i="9"/>
  <c r="R68" i="9"/>
  <c r="F3" i="11"/>
  <c r="F4" i="11"/>
  <c r="J3" i="11"/>
  <c r="J4" i="11"/>
  <c r="N3" i="11"/>
  <c r="N4" i="11"/>
  <c r="R3" i="11"/>
  <c r="R4" i="11"/>
  <c r="F9" i="11"/>
  <c r="F10" i="11"/>
  <c r="F5" i="11"/>
  <c r="F6" i="11"/>
  <c r="F7" i="11"/>
  <c r="F8" i="11"/>
  <c r="J9" i="11"/>
  <c r="J10" i="11"/>
  <c r="J5" i="11"/>
  <c r="J6" i="11"/>
  <c r="J7" i="11"/>
  <c r="J8" i="11"/>
  <c r="N9" i="11"/>
  <c r="N10" i="11"/>
  <c r="N5" i="11"/>
  <c r="N6" i="11"/>
  <c r="N7" i="11"/>
  <c r="N8" i="11"/>
  <c r="R9" i="11"/>
  <c r="R10" i="11"/>
  <c r="R5" i="11"/>
  <c r="R6" i="11"/>
  <c r="R7" i="11"/>
  <c r="R8" i="11"/>
  <c r="F13" i="11"/>
  <c r="F14" i="11"/>
  <c r="F15" i="11"/>
  <c r="F16" i="11"/>
  <c r="F11" i="11"/>
  <c r="F12" i="11"/>
  <c r="J13" i="11"/>
  <c r="J14" i="11"/>
  <c r="J15" i="11"/>
  <c r="J16" i="11"/>
  <c r="J11" i="11"/>
  <c r="J12" i="11"/>
  <c r="N13" i="11"/>
  <c r="N14" i="11"/>
  <c r="N15" i="11"/>
  <c r="N16" i="11"/>
  <c r="N11" i="11"/>
  <c r="N12" i="11"/>
  <c r="R13" i="11"/>
  <c r="R14" i="11"/>
  <c r="R15" i="11"/>
  <c r="R16" i="11"/>
  <c r="R11" i="11"/>
  <c r="R12" i="11"/>
  <c r="F19" i="11"/>
  <c r="F20" i="11"/>
  <c r="F17" i="11"/>
  <c r="F18" i="11"/>
  <c r="J19" i="11"/>
  <c r="J20" i="11"/>
  <c r="J17" i="11"/>
  <c r="J18" i="11"/>
  <c r="N19" i="11"/>
  <c r="N20" i="11"/>
  <c r="N17" i="11"/>
  <c r="N18" i="11"/>
  <c r="R19" i="11"/>
  <c r="R20" i="11"/>
  <c r="R17" i="11"/>
  <c r="R18" i="11"/>
  <c r="F23" i="11"/>
  <c r="F24" i="11"/>
  <c r="F21" i="11"/>
  <c r="F22" i="11"/>
  <c r="J23" i="11"/>
  <c r="J24" i="11"/>
  <c r="J21" i="11"/>
  <c r="J22" i="11"/>
  <c r="N23" i="11"/>
  <c r="N24" i="11"/>
  <c r="N21" i="11"/>
  <c r="N22" i="11"/>
  <c r="R23" i="11"/>
  <c r="R24" i="11"/>
  <c r="R21" i="11"/>
  <c r="R22" i="11"/>
  <c r="F29" i="11"/>
  <c r="F30" i="11"/>
  <c r="F25" i="11"/>
  <c r="F26" i="11"/>
  <c r="F27" i="11"/>
  <c r="F28" i="11"/>
  <c r="J29" i="11"/>
  <c r="J30" i="11"/>
  <c r="J25" i="11"/>
  <c r="J26" i="11"/>
  <c r="J27" i="11"/>
  <c r="J28" i="11"/>
  <c r="N29" i="11"/>
  <c r="N30" i="11"/>
  <c r="N25" i="11"/>
  <c r="N26" i="11"/>
  <c r="N27" i="11"/>
  <c r="N28" i="11"/>
  <c r="R29" i="11"/>
  <c r="R30" i="11"/>
  <c r="R25" i="11"/>
  <c r="R26" i="11"/>
  <c r="R27" i="11"/>
  <c r="R28" i="11"/>
  <c r="F31" i="11"/>
  <c r="F32" i="11"/>
  <c r="F33" i="11"/>
  <c r="F34" i="11"/>
  <c r="J33" i="11"/>
  <c r="J34" i="11"/>
  <c r="J31" i="11"/>
  <c r="J32" i="11"/>
  <c r="N31" i="11"/>
  <c r="N32" i="11"/>
  <c r="N34" i="11"/>
  <c r="N33" i="11"/>
  <c r="R31" i="11"/>
  <c r="R32" i="11"/>
  <c r="R33" i="11"/>
  <c r="R34" i="11"/>
  <c r="F36" i="11"/>
  <c r="F37" i="11"/>
  <c r="F38" i="11"/>
  <c r="F35" i="11"/>
  <c r="J38" i="11"/>
  <c r="J35" i="11"/>
  <c r="J36" i="11"/>
  <c r="J37" i="11"/>
  <c r="N35" i="11"/>
  <c r="N36" i="11"/>
  <c r="N37" i="11"/>
  <c r="N38" i="11"/>
  <c r="R35" i="11"/>
  <c r="R36" i="11"/>
  <c r="R37" i="11"/>
  <c r="R38" i="11"/>
  <c r="F40" i="11"/>
  <c r="F41" i="11"/>
  <c r="F42" i="11"/>
  <c r="F39" i="11"/>
  <c r="J39" i="11"/>
  <c r="J40" i="11"/>
  <c r="J41" i="11"/>
  <c r="J42" i="11"/>
  <c r="N40" i="11"/>
  <c r="N41" i="11"/>
  <c r="N42" i="11"/>
  <c r="N39" i="11"/>
  <c r="R40" i="11"/>
  <c r="R41" i="11"/>
  <c r="R42" i="11"/>
  <c r="R39" i="11"/>
  <c r="H3" i="9"/>
  <c r="H7" i="9"/>
  <c r="H4" i="9"/>
  <c r="H5" i="9"/>
  <c r="H6" i="9"/>
  <c r="H11" i="9"/>
  <c r="H12" i="9"/>
  <c r="H13" i="9"/>
  <c r="H8" i="9"/>
  <c r="H9" i="9"/>
  <c r="H10" i="9"/>
  <c r="L18" i="9"/>
  <c r="L19" i="9"/>
  <c r="L14" i="9"/>
  <c r="L15" i="9"/>
  <c r="L16" i="9"/>
  <c r="L17" i="9"/>
  <c r="P25" i="9"/>
  <c r="P20" i="9"/>
  <c r="P21" i="9"/>
  <c r="P22" i="9"/>
  <c r="P23" i="9"/>
  <c r="P24" i="9"/>
  <c r="P26" i="9"/>
  <c r="P27" i="9"/>
  <c r="P28" i="9"/>
  <c r="P29" i="9"/>
  <c r="P30" i="9"/>
  <c r="P31" i="9"/>
  <c r="P32" i="9"/>
  <c r="P34" i="9"/>
  <c r="P35" i="9"/>
  <c r="P36" i="9"/>
  <c r="P37" i="9"/>
  <c r="P38" i="9"/>
  <c r="P33" i="9"/>
  <c r="P39" i="9"/>
  <c r="P40" i="9"/>
  <c r="P41" i="9"/>
  <c r="P42" i="9"/>
  <c r="P43" i="9"/>
  <c r="P44" i="9"/>
  <c r="L47" i="9"/>
  <c r="L48" i="9"/>
  <c r="L46" i="9"/>
  <c r="L45" i="9"/>
  <c r="P49" i="9"/>
  <c r="P50" i="9"/>
  <c r="P51" i="9"/>
  <c r="P52" i="9"/>
  <c r="P53" i="9"/>
  <c r="P54" i="9"/>
  <c r="L55" i="9"/>
  <c r="L56" i="9"/>
  <c r="L59" i="9"/>
  <c r="L58" i="9"/>
  <c r="L57" i="9"/>
  <c r="L60" i="9"/>
  <c r="L61" i="9"/>
  <c r="L62" i="9"/>
  <c r="L63" i="9"/>
  <c r="L64" i="9"/>
  <c r="L65" i="9"/>
  <c r="L66" i="9"/>
  <c r="L67" i="9"/>
  <c r="L68" i="9"/>
  <c r="H4" i="11"/>
  <c r="H3" i="11"/>
  <c r="L3" i="11"/>
  <c r="L4" i="11"/>
  <c r="P4" i="11"/>
  <c r="P3" i="11"/>
  <c r="D9" i="11"/>
  <c r="D10" i="11"/>
  <c r="D5" i="11"/>
  <c r="D6" i="11"/>
  <c r="D7" i="11"/>
  <c r="D8" i="11"/>
  <c r="H9" i="11"/>
  <c r="H10" i="11"/>
  <c r="H5" i="11"/>
  <c r="H6" i="11"/>
  <c r="H7" i="11"/>
  <c r="H8" i="11"/>
  <c r="L9" i="11"/>
  <c r="L10" i="11"/>
  <c r="L5" i="11"/>
  <c r="L6" i="11"/>
  <c r="L7" i="11"/>
  <c r="L8" i="11"/>
  <c r="P9" i="11"/>
  <c r="P10" i="11"/>
  <c r="P5" i="11"/>
  <c r="P6" i="11"/>
  <c r="P7" i="11"/>
  <c r="P8" i="11"/>
  <c r="D12" i="11"/>
  <c r="D13" i="11"/>
  <c r="D14" i="11"/>
  <c r="D15" i="11"/>
  <c r="D16" i="11"/>
  <c r="D11" i="11"/>
  <c r="H13" i="11"/>
  <c r="H14" i="11"/>
  <c r="H15" i="11"/>
  <c r="H16" i="11"/>
  <c r="H11" i="11"/>
  <c r="H12" i="11"/>
  <c r="L13" i="11"/>
  <c r="L14" i="11"/>
  <c r="L15" i="11"/>
  <c r="L16" i="11"/>
  <c r="L11" i="11"/>
  <c r="L12" i="11"/>
  <c r="P13" i="11"/>
  <c r="P14" i="11"/>
  <c r="P15" i="11"/>
  <c r="P16" i="11"/>
  <c r="P11" i="11"/>
  <c r="P12" i="11"/>
  <c r="D19" i="11"/>
  <c r="D20" i="11"/>
  <c r="D17" i="11"/>
  <c r="D18" i="11"/>
  <c r="H19" i="11"/>
  <c r="H20" i="11"/>
  <c r="H17" i="11"/>
  <c r="H18" i="11"/>
  <c r="L19" i="11"/>
  <c r="L20" i="11"/>
  <c r="L17" i="11"/>
  <c r="L18" i="11"/>
  <c r="P19" i="11"/>
  <c r="P20" i="11"/>
  <c r="P17" i="11"/>
  <c r="P18" i="11"/>
  <c r="D23" i="11"/>
  <c r="D24" i="11"/>
  <c r="D21" i="11"/>
  <c r="D22" i="11"/>
  <c r="H23" i="11"/>
  <c r="H24" i="11"/>
  <c r="H21" i="11"/>
  <c r="H22" i="11"/>
  <c r="L23" i="11"/>
  <c r="L24" i="11"/>
  <c r="L21" i="11"/>
  <c r="L22" i="11"/>
  <c r="D29" i="11"/>
  <c r="D30" i="11"/>
  <c r="D25" i="11"/>
  <c r="D26" i="11"/>
  <c r="D27" i="11"/>
  <c r="D28" i="11"/>
  <c r="L29" i="11"/>
  <c r="L30" i="11"/>
  <c r="L25" i="11"/>
  <c r="L26" i="11"/>
  <c r="L27" i="11"/>
  <c r="L28" i="11"/>
  <c r="D33" i="11"/>
  <c r="D34" i="11"/>
  <c r="D31" i="11"/>
  <c r="D32" i="11"/>
  <c r="L34" i="11"/>
  <c r="L33" i="11"/>
  <c r="L31" i="11"/>
  <c r="L32" i="11"/>
  <c r="D38" i="11"/>
  <c r="D35" i="11"/>
  <c r="D36" i="11"/>
  <c r="D37" i="11"/>
  <c r="L38" i="11"/>
  <c r="L35" i="11"/>
  <c r="L36" i="11"/>
  <c r="L37" i="11"/>
  <c r="D40" i="11"/>
  <c r="D41" i="11"/>
  <c r="D42" i="11"/>
  <c r="D39" i="11"/>
  <c r="L40" i="11"/>
  <c r="L41" i="11"/>
  <c r="L42" i="11"/>
  <c r="L39" i="11"/>
  <c r="G7" i="9"/>
  <c r="G4" i="9"/>
  <c r="G5" i="9"/>
  <c r="G6" i="9"/>
  <c r="G3" i="9"/>
  <c r="K7" i="9"/>
  <c r="K4" i="9"/>
  <c r="K5" i="9"/>
  <c r="K6" i="9"/>
  <c r="K3" i="9"/>
  <c r="O7" i="9"/>
  <c r="O4" i="9"/>
  <c r="O5" i="9"/>
  <c r="O6" i="9"/>
  <c r="O3" i="9"/>
  <c r="S7" i="9"/>
  <c r="S4" i="9"/>
  <c r="S5" i="9"/>
  <c r="S6" i="9"/>
  <c r="S3" i="9"/>
  <c r="G11" i="9"/>
  <c r="G12" i="9"/>
  <c r="G13" i="9"/>
  <c r="G8" i="9"/>
  <c r="G9" i="9"/>
  <c r="G10" i="9"/>
  <c r="K11" i="9"/>
  <c r="K12" i="9"/>
  <c r="K13" i="9"/>
  <c r="K8" i="9"/>
  <c r="K9" i="9"/>
  <c r="K10" i="9"/>
  <c r="O11" i="9"/>
  <c r="O12" i="9"/>
  <c r="O13" i="9"/>
  <c r="O8" i="9"/>
  <c r="O9" i="9"/>
  <c r="O10" i="9"/>
  <c r="S11" i="9"/>
  <c r="S12" i="9"/>
  <c r="S13" i="9"/>
  <c r="S8" i="9"/>
  <c r="S9" i="9"/>
  <c r="S10" i="9"/>
  <c r="G18" i="9"/>
  <c r="G19" i="9"/>
  <c r="G14" i="9"/>
  <c r="G15" i="9"/>
  <c r="G16" i="9"/>
  <c r="G17" i="9"/>
  <c r="K18" i="9"/>
  <c r="K19" i="9"/>
  <c r="K14" i="9"/>
  <c r="K15" i="9"/>
  <c r="K16" i="9"/>
  <c r="K17" i="9"/>
  <c r="O18" i="9"/>
  <c r="O19" i="9"/>
  <c r="O14" i="9"/>
  <c r="O15" i="9"/>
  <c r="O16" i="9"/>
  <c r="O17" i="9"/>
  <c r="S18" i="9"/>
  <c r="S19" i="9"/>
  <c r="S14" i="9"/>
  <c r="S15" i="9"/>
  <c r="S16" i="9"/>
  <c r="S17" i="9"/>
  <c r="G25" i="9"/>
  <c r="G20" i="9"/>
  <c r="G21" i="9"/>
  <c r="G22" i="9"/>
  <c r="G23" i="9"/>
  <c r="G24" i="9"/>
  <c r="K25" i="9"/>
  <c r="K20" i="9"/>
  <c r="K21" i="9"/>
  <c r="K22" i="9"/>
  <c r="K23" i="9"/>
  <c r="K24" i="9"/>
  <c r="O25" i="9"/>
  <c r="O20" i="9"/>
  <c r="O21" i="9"/>
  <c r="O22" i="9"/>
  <c r="O23" i="9"/>
  <c r="O24" i="9"/>
  <c r="S25" i="9"/>
  <c r="S20" i="9"/>
  <c r="S21" i="9"/>
  <c r="S22" i="9"/>
  <c r="S23" i="9"/>
  <c r="S24" i="9"/>
  <c r="G26" i="9"/>
  <c r="G27" i="9"/>
  <c r="G28" i="9"/>
  <c r="G29" i="9"/>
  <c r="G30" i="9"/>
  <c r="G31" i="9"/>
  <c r="G32" i="9"/>
  <c r="K32" i="9"/>
  <c r="K26" i="9"/>
  <c r="K27" i="9"/>
  <c r="K28" i="9"/>
  <c r="K29" i="9"/>
  <c r="K30" i="9"/>
  <c r="K31" i="9"/>
  <c r="O26" i="9"/>
  <c r="O27" i="9"/>
  <c r="O28" i="9"/>
  <c r="O29" i="9"/>
  <c r="O30" i="9"/>
  <c r="O31" i="9"/>
  <c r="O32" i="9"/>
  <c r="S31" i="9"/>
  <c r="S32" i="9"/>
  <c r="S26" i="9"/>
  <c r="S27" i="9"/>
  <c r="S28" i="9"/>
  <c r="S29" i="9"/>
  <c r="S30" i="9"/>
  <c r="G34" i="9"/>
  <c r="G35" i="9"/>
  <c r="G36" i="9"/>
  <c r="G37" i="9"/>
  <c r="G38" i="9"/>
  <c r="G33" i="9"/>
  <c r="K34" i="9"/>
  <c r="K35" i="9"/>
  <c r="K36" i="9"/>
  <c r="K37" i="9"/>
  <c r="K38" i="9"/>
  <c r="K33" i="9"/>
  <c r="O33" i="9"/>
  <c r="O34" i="9"/>
  <c r="O35" i="9"/>
  <c r="O36" i="9"/>
  <c r="O37" i="9"/>
  <c r="O38" i="9"/>
  <c r="S33" i="9"/>
  <c r="S34" i="9"/>
  <c r="S35" i="9"/>
  <c r="S36" i="9"/>
  <c r="S37" i="9"/>
  <c r="S38" i="9"/>
  <c r="G39" i="9"/>
  <c r="G40" i="9"/>
  <c r="G41" i="9"/>
  <c r="G42" i="9"/>
  <c r="G43" i="9"/>
  <c r="G44" i="9"/>
  <c r="K40" i="9"/>
  <c r="K44" i="9"/>
  <c r="K41" i="9"/>
  <c r="K42" i="9"/>
  <c r="K39" i="9"/>
  <c r="K43" i="9"/>
  <c r="O39" i="9"/>
  <c r="O40" i="9"/>
  <c r="O41" i="9"/>
  <c r="O42" i="9"/>
  <c r="O43" i="9"/>
  <c r="O44" i="9"/>
  <c r="S39" i="9"/>
  <c r="S40" i="9"/>
  <c r="S41" i="9"/>
  <c r="S42" i="9"/>
  <c r="S43" i="9"/>
  <c r="S44" i="9"/>
  <c r="G45" i="9"/>
  <c r="G47" i="9"/>
  <c r="G48" i="9"/>
  <c r="G46" i="9"/>
  <c r="K45" i="9"/>
  <c r="K46" i="9"/>
  <c r="K47" i="9"/>
  <c r="K48" i="9"/>
  <c r="O45" i="9"/>
  <c r="O46" i="9"/>
  <c r="O47" i="9"/>
  <c r="O48" i="9"/>
  <c r="S45" i="9"/>
  <c r="S46" i="9"/>
  <c r="S47" i="9"/>
  <c r="S48" i="9"/>
  <c r="G51" i="9"/>
  <c r="G50" i="9"/>
  <c r="G54" i="9"/>
  <c r="G49" i="9"/>
  <c r="G53" i="9"/>
  <c r="G52" i="9"/>
  <c r="K49" i="9"/>
  <c r="K50" i="9"/>
  <c r="K51" i="9"/>
  <c r="K52" i="9"/>
  <c r="K53" i="9"/>
  <c r="K54" i="9"/>
  <c r="O49" i="9"/>
  <c r="O50" i="9"/>
  <c r="O51" i="9"/>
  <c r="O52" i="9"/>
  <c r="O53" i="9"/>
  <c r="O54" i="9"/>
  <c r="S49" i="9"/>
  <c r="S51" i="9"/>
  <c r="S53" i="9"/>
  <c r="S50" i="9"/>
  <c r="S52" i="9"/>
  <c r="S54" i="9"/>
  <c r="G55" i="9"/>
  <c r="G56" i="9"/>
  <c r="G58" i="9"/>
  <c r="G57" i="9"/>
  <c r="G59" i="9"/>
  <c r="K57" i="9"/>
  <c r="K58" i="9"/>
  <c r="K59" i="9"/>
  <c r="K55" i="9"/>
  <c r="K56" i="9"/>
  <c r="O55" i="9"/>
  <c r="O56" i="9"/>
  <c r="O57" i="9"/>
  <c r="O58" i="9"/>
  <c r="O59" i="9"/>
  <c r="S56" i="9"/>
  <c r="S58" i="9"/>
  <c r="S57" i="9"/>
  <c r="S59" i="9"/>
  <c r="S55" i="9"/>
  <c r="G62" i="9"/>
  <c r="G63" i="9"/>
  <c r="G64" i="9"/>
  <c r="G60" i="9"/>
  <c r="G61" i="9"/>
  <c r="K60" i="9"/>
  <c r="K61" i="9"/>
  <c r="K63" i="9"/>
  <c r="K62" i="9"/>
  <c r="K64" i="9"/>
  <c r="O61" i="9"/>
  <c r="O62" i="9"/>
  <c r="O63" i="9"/>
  <c r="O64" i="9"/>
  <c r="O60" i="9"/>
  <c r="S60" i="9"/>
  <c r="S62" i="9"/>
  <c r="S64" i="9"/>
  <c r="S61" i="9"/>
  <c r="S63" i="9"/>
  <c r="G65" i="9"/>
  <c r="G66" i="9"/>
  <c r="G67" i="9"/>
  <c r="G68" i="9"/>
  <c r="K65" i="9"/>
  <c r="K66" i="9"/>
  <c r="K67" i="9"/>
  <c r="K68" i="9"/>
  <c r="O65" i="9"/>
  <c r="O67" i="9"/>
  <c r="O66" i="9"/>
  <c r="O68" i="9"/>
  <c r="S65" i="9"/>
  <c r="S66" i="9"/>
  <c r="S67" i="9"/>
  <c r="S68" i="9"/>
  <c r="G3" i="11"/>
  <c r="G4" i="11"/>
  <c r="K3" i="11"/>
  <c r="K4" i="11"/>
  <c r="O3" i="11"/>
  <c r="O4" i="11"/>
  <c r="S3" i="11"/>
  <c r="S4" i="11"/>
  <c r="G9" i="11"/>
  <c r="G10" i="11"/>
  <c r="G5" i="11"/>
  <c r="G6" i="11"/>
  <c r="G7" i="11"/>
  <c r="G8" i="11"/>
  <c r="K9" i="11"/>
  <c r="K10" i="11"/>
  <c r="K5" i="11"/>
  <c r="K6" i="11"/>
  <c r="K7" i="11"/>
  <c r="K8" i="11"/>
  <c r="O9" i="11"/>
  <c r="O10" i="11"/>
  <c r="O5" i="11"/>
  <c r="O6" i="11"/>
  <c r="O7" i="11"/>
  <c r="O8" i="11"/>
  <c r="S9" i="11"/>
  <c r="S10" i="11"/>
  <c r="S5" i="11"/>
  <c r="S6" i="11"/>
  <c r="S7" i="11"/>
  <c r="S8" i="11"/>
  <c r="G13" i="11"/>
  <c r="G14" i="11"/>
  <c r="G15" i="11"/>
  <c r="G16" i="11"/>
  <c r="G11" i="11"/>
  <c r="G12" i="11"/>
  <c r="K13" i="11"/>
  <c r="K14" i="11"/>
  <c r="K15" i="11"/>
  <c r="K16" i="11"/>
  <c r="K11" i="11"/>
  <c r="K12" i="11"/>
  <c r="O13" i="11"/>
  <c r="O14" i="11"/>
  <c r="O15" i="11"/>
  <c r="O16" i="11"/>
  <c r="O11" i="11"/>
  <c r="O12" i="11"/>
  <c r="S13" i="11"/>
  <c r="S14" i="11"/>
  <c r="S15" i="11"/>
  <c r="S16" i="11"/>
  <c r="S11" i="11"/>
  <c r="S12" i="11"/>
  <c r="G19" i="11"/>
  <c r="G20" i="11"/>
  <c r="G17" i="11"/>
  <c r="G18" i="11"/>
  <c r="K19" i="11"/>
  <c r="K20" i="11"/>
  <c r="K17" i="11"/>
  <c r="K18" i="11"/>
  <c r="O19" i="11"/>
  <c r="O20" i="11"/>
  <c r="O17" i="11"/>
  <c r="O18" i="11"/>
  <c r="S19" i="11"/>
  <c r="S20" i="11"/>
  <c r="S17" i="11"/>
  <c r="S18" i="11"/>
  <c r="G23" i="11"/>
  <c r="G24" i="11"/>
  <c r="G21" i="11"/>
  <c r="G22" i="11"/>
  <c r="K23" i="11"/>
  <c r="K24" i="11"/>
  <c r="K21" i="11"/>
  <c r="K22" i="11"/>
  <c r="O23" i="11"/>
  <c r="O24" i="11"/>
  <c r="O21" i="11"/>
  <c r="O22" i="11"/>
  <c r="S23" i="11"/>
  <c r="S24" i="11"/>
  <c r="S21" i="11"/>
  <c r="S22" i="11"/>
  <c r="G29" i="11"/>
  <c r="G30" i="11"/>
  <c r="G25" i="11"/>
  <c r="G26" i="11"/>
  <c r="G27" i="11"/>
  <c r="G28" i="11"/>
  <c r="K29" i="11"/>
  <c r="K30" i="11"/>
  <c r="K25" i="11"/>
  <c r="K26" i="11"/>
  <c r="K27" i="11"/>
  <c r="K28" i="11"/>
  <c r="O29" i="11"/>
  <c r="O30" i="11"/>
  <c r="O25" i="11"/>
  <c r="O26" i="11"/>
  <c r="O27" i="11"/>
  <c r="O28" i="11"/>
  <c r="S29" i="11"/>
  <c r="S30" i="11"/>
  <c r="S25" i="11"/>
  <c r="S26" i="11"/>
  <c r="S27" i="11"/>
  <c r="S28" i="11"/>
  <c r="G31" i="11"/>
  <c r="G32" i="11"/>
  <c r="G33" i="11"/>
  <c r="G34" i="11"/>
  <c r="K33" i="11"/>
  <c r="K34" i="11"/>
  <c r="K31" i="11"/>
  <c r="K32" i="11"/>
  <c r="O33" i="11"/>
  <c r="O34" i="11"/>
  <c r="O31" i="11"/>
  <c r="O32" i="11"/>
  <c r="S31" i="11"/>
  <c r="S32" i="11"/>
  <c r="S33" i="11"/>
  <c r="S34" i="11"/>
  <c r="G36" i="11"/>
  <c r="G37" i="11"/>
  <c r="G38" i="11"/>
  <c r="G35" i="11"/>
  <c r="K38" i="11"/>
  <c r="K35" i="11"/>
  <c r="K36" i="11"/>
  <c r="K37" i="11"/>
  <c r="O38" i="11"/>
  <c r="O35" i="11"/>
  <c r="O36" i="11"/>
  <c r="O37" i="11"/>
  <c r="S35" i="11"/>
  <c r="S36" i="11"/>
  <c r="S37" i="11"/>
  <c r="S38" i="11"/>
  <c r="G40" i="11"/>
  <c r="G41" i="11"/>
  <c r="G42" i="11"/>
  <c r="G39" i="11"/>
  <c r="K39" i="11"/>
  <c r="K40" i="11"/>
  <c r="K41" i="11"/>
  <c r="K42" i="11"/>
  <c r="O39" i="11"/>
  <c r="O40" i="11"/>
  <c r="O41" i="11"/>
  <c r="O42" i="11"/>
  <c r="S40" i="11"/>
  <c r="S41" i="11"/>
  <c r="S42" i="11"/>
  <c r="S39" i="11"/>
  <c r="D11" i="9"/>
  <c r="D12" i="9"/>
  <c r="D13" i="9"/>
  <c r="D8" i="9"/>
  <c r="D9" i="9"/>
  <c r="D10" i="9"/>
  <c r="D18" i="9"/>
  <c r="D19" i="9"/>
  <c r="D14" i="9"/>
  <c r="D15" i="9"/>
  <c r="D16" i="9"/>
  <c r="D17" i="9"/>
  <c r="D25" i="9"/>
  <c r="D20" i="9"/>
  <c r="D21" i="9"/>
  <c r="D22" i="9"/>
  <c r="D23" i="9"/>
  <c r="D24" i="9"/>
  <c r="D26" i="9"/>
  <c r="D27" i="9"/>
  <c r="D28" i="9"/>
  <c r="D29" i="9"/>
  <c r="D30" i="9"/>
  <c r="D31" i="9"/>
  <c r="D32" i="9"/>
  <c r="D34" i="9"/>
  <c r="D35" i="9"/>
  <c r="D36" i="9"/>
  <c r="D37" i="9"/>
  <c r="D38" i="9"/>
  <c r="D33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7" i="9"/>
  <c r="D58" i="9"/>
  <c r="D59" i="9"/>
  <c r="D55" i="9"/>
  <c r="D56" i="9"/>
  <c r="D60" i="9"/>
  <c r="D61" i="9"/>
  <c r="D62" i="9"/>
  <c r="D63" i="9"/>
  <c r="D64" i="9"/>
  <c r="D65" i="9"/>
  <c r="D66" i="9"/>
  <c r="D67" i="9"/>
  <c r="D68" i="9"/>
  <c r="L28" i="70"/>
  <c r="L82" i="31"/>
  <c r="L146" i="31"/>
  <c r="J168" i="31"/>
  <c r="AG33" i="56"/>
  <c r="AG26" i="56"/>
  <c r="G9" i="24"/>
  <c r="G36" i="24"/>
  <c r="H6" i="35"/>
  <c r="L114" i="31"/>
  <c r="N6" i="35"/>
  <c r="N43" i="5"/>
  <c r="L20" i="70"/>
  <c r="B274" i="53" s="1"/>
  <c r="C28" i="52"/>
  <c r="N73" i="5"/>
  <c r="AG56" i="56"/>
  <c r="H22" i="70"/>
  <c r="L22" i="70"/>
  <c r="B332" i="53" s="1"/>
  <c r="L23" i="70"/>
  <c r="B361" i="53"/>
  <c r="L25" i="70"/>
  <c r="B419" i="53" s="1"/>
  <c r="L33" i="70"/>
  <c r="B1620" i="53" s="1"/>
  <c r="K20" i="56"/>
  <c r="L20" i="56"/>
  <c r="H4" i="35"/>
  <c r="AA17" i="24"/>
  <c r="L26" i="70"/>
  <c r="B448" i="53" s="1"/>
  <c r="P4" i="35"/>
  <c r="C20" i="52"/>
  <c r="D21" i="52"/>
  <c r="I53" i="5"/>
  <c r="K104" i="31"/>
  <c r="J158" i="31"/>
  <c r="AA33" i="24"/>
  <c r="AA52" i="24"/>
  <c r="L21" i="70"/>
  <c r="L24" i="70"/>
  <c r="F4" i="35"/>
  <c r="I55" i="5"/>
  <c r="N58" i="5"/>
  <c r="J128" i="31"/>
  <c r="D30" i="52"/>
  <c r="K153" i="31"/>
  <c r="J96" i="31"/>
  <c r="K136" i="31"/>
  <c r="L166" i="31"/>
  <c r="B2910" i="53"/>
  <c r="B2940" i="53"/>
  <c r="AG20" i="56"/>
  <c r="B2611" i="53"/>
  <c r="B2641" i="53"/>
  <c r="B2850" i="53"/>
  <c r="B2880" i="53"/>
  <c r="B2969" i="53"/>
  <c r="B2999" i="53"/>
  <c r="AG47" i="56"/>
  <c r="B2742" i="53"/>
  <c r="AG40" i="56"/>
  <c r="T5" i="35"/>
  <c r="F9" i="35"/>
  <c r="D9" i="52"/>
  <c r="G48" i="24"/>
  <c r="F10" i="35"/>
  <c r="AA13" i="24"/>
  <c r="G19" i="24"/>
  <c r="G24" i="24"/>
  <c r="G29" i="24"/>
  <c r="G40" i="24"/>
  <c r="G47" i="24"/>
  <c r="Z48" i="24"/>
  <c r="AG73" i="56"/>
  <c r="L5" i="35"/>
  <c r="J9" i="35"/>
  <c r="J10" i="35"/>
  <c r="J16" i="35"/>
  <c r="D17" i="52"/>
  <c r="C24" i="52"/>
  <c r="D25" i="52"/>
  <c r="D41" i="52"/>
  <c r="C42" i="52"/>
  <c r="C45" i="52"/>
  <c r="G32" i="24"/>
  <c r="L41" i="70"/>
  <c r="B2121" i="53"/>
  <c r="H5" i="35"/>
  <c r="G6" i="24"/>
  <c r="G16" i="24"/>
  <c r="G23" i="24"/>
  <c r="G28" i="24"/>
  <c r="G39" i="24"/>
  <c r="G44" i="24"/>
  <c r="L49" i="70"/>
  <c r="AG61" i="56"/>
  <c r="T4" i="35"/>
  <c r="I43" i="5"/>
  <c r="N65" i="5"/>
  <c r="I67" i="5"/>
  <c r="N71" i="5"/>
  <c r="K81" i="31"/>
  <c r="J104" i="31"/>
  <c r="K121" i="31"/>
  <c r="K145" i="31"/>
  <c r="K89" i="31"/>
  <c r="K113" i="31"/>
  <c r="J136" i="31"/>
  <c r="J80" i="31"/>
  <c r="K88" i="31"/>
  <c r="L98" i="31"/>
  <c r="J112" i="31"/>
  <c r="K120" i="31"/>
  <c r="L130" i="31"/>
  <c r="J144" i="31"/>
  <c r="K152" i="31"/>
  <c r="J166" i="31"/>
  <c r="J88" i="31"/>
  <c r="K97" i="31"/>
  <c r="K105" i="31"/>
  <c r="J120" i="31"/>
  <c r="K129" i="31"/>
  <c r="K137" i="31"/>
  <c r="J152" i="31"/>
  <c r="J164" i="31"/>
  <c r="L74" i="31"/>
  <c r="L90" i="31"/>
  <c r="L106" i="31"/>
  <c r="L122" i="31"/>
  <c r="L138" i="31"/>
  <c r="L154" i="31"/>
  <c r="L160" i="31"/>
  <c r="K77" i="31"/>
  <c r="J82" i="31"/>
  <c r="K93" i="31"/>
  <c r="J98" i="31"/>
  <c r="K109" i="31"/>
  <c r="J114" i="31"/>
  <c r="K125" i="31"/>
  <c r="J130" i="31"/>
  <c r="K141" i="31"/>
  <c r="J146" i="31"/>
  <c r="K157" i="31"/>
  <c r="K161" i="31"/>
  <c r="K69" i="31"/>
  <c r="J74" i="31"/>
  <c r="K80" i="31"/>
  <c r="K85" i="31"/>
  <c r="J90" i="31"/>
  <c r="K96" i="31"/>
  <c r="K101" i="31"/>
  <c r="J106" i="31"/>
  <c r="K112" i="31"/>
  <c r="K117" i="31"/>
  <c r="J122" i="31"/>
  <c r="K128" i="31"/>
  <c r="K133" i="31"/>
  <c r="J138" i="31"/>
  <c r="K144" i="31"/>
  <c r="K149" i="31"/>
  <c r="J154" i="31"/>
  <c r="J160" i="31"/>
  <c r="L164" i="31"/>
  <c r="I45" i="5"/>
  <c r="J50" i="5"/>
  <c r="P44" i="5"/>
  <c r="Q44" i="5"/>
  <c r="R44" i="5"/>
  <c r="R45" i="5"/>
  <c r="R46" i="5"/>
  <c r="D57" i="71"/>
  <c r="Z28" i="24"/>
  <c r="Z29" i="24"/>
  <c r="D52" i="71"/>
  <c r="D60" i="71"/>
  <c r="A8" i="56"/>
  <c r="K22" i="56"/>
  <c r="L22" i="56"/>
  <c r="G36" i="56"/>
  <c r="AH41" i="56"/>
  <c r="G50" i="56"/>
  <c r="G62" i="56"/>
  <c r="D3" i="35"/>
  <c r="T3" i="35"/>
  <c r="C7" i="52"/>
  <c r="D8" i="52"/>
  <c r="C15" i="52"/>
  <c r="C46" i="52"/>
  <c r="C49" i="52"/>
  <c r="G70" i="56"/>
  <c r="AA10" i="24"/>
  <c r="L40" i="70"/>
  <c r="L29" i="70"/>
  <c r="B1351" i="53" s="1"/>
  <c r="D61" i="71"/>
  <c r="G14" i="56"/>
  <c r="G40" i="56"/>
  <c r="G54" i="56"/>
  <c r="G66" i="56"/>
  <c r="H3" i="35"/>
  <c r="L4" i="35"/>
  <c r="N5" i="35"/>
  <c r="D6" i="35"/>
  <c r="D17" i="35"/>
  <c r="L6" i="35"/>
  <c r="D11" i="52"/>
  <c r="C18" i="52"/>
  <c r="C22" i="52"/>
  <c r="C26" i="52"/>
  <c r="D29" i="52"/>
  <c r="C32" i="52"/>
  <c r="C34" i="52"/>
  <c r="C37" i="52"/>
  <c r="C50" i="52"/>
  <c r="C53" i="52"/>
  <c r="G46" i="56"/>
  <c r="G74" i="56"/>
  <c r="G78" i="56"/>
  <c r="P3" i="35"/>
  <c r="G20" i="24"/>
  <c r="G25" i="24"/>
  <c r="G35" i="24"/>
  <c r="G43" i="24"/>
  <c r="L27" i="70"/>
  <c r="B477" i="53" s="1"/>
  <c r="B535" i="53"/>
  <c r="D56" i="71"/>
  <c r="D63" i="71"/>
  <c r="D66" i="71"/>
  <c r="AH5" i="56"/>
  <c r="G32" i="56"/>
  <c r="G42" i="56"/>
  <c r="G58" i="56"/>
  <c r="AG67" i="56"/>
  <c r="L3" i="35"/>
  <c r="D4" i="35"/>
  <c r="N4" i="35"/>
  <c r="D5" i="35"/>
  <c r="P5" i="35"/>
  <c r="F6" i="35"/>
  <c r="T6" i="35"/>
  <c r="F16" i="35"/>
  <c r="D14" i="52"/>
  <c r="C38" i="52"/>
  <c r="N67" i="5"/>
  <c r="N38" i="5"/>
  <c r="I47" i="5"/>
  <c r="N55" i="5"/>
  <c r="I58" i="5"/>
  <c r="I63" i="5"/>
  <c r="I71" i="5"/>
  <c r="L76" i="31"/>
  <c r="L84" i="31"/>
  <c r="L92" i="31"/>
  <c r="L100" i="31"/>
  <c r="L108" i="31"/>
  <c r="L116" i="31"/>
  <c r="L124" i="31"/>
  <c r="L132" i="31"/>
  <c r="L140" i="31"/>
  <c r="L148" i="31"/>
  <c r="J76" i="31"/>
  <c r="J78" i="31"/>
  <c r="J84" i="31"/>
  <c r="J86" i="31"/>
  <c r="J92" i="31"/>
  <c r="J94" i="31"/>
  <c r="J100" i="31"/>
  <c r="J102" i="31"/>
  <c r="J108" i="31"/>
  <c r="J110" i="31"/>
  <c r="J116" i="31"/>
  <c r="J118" i="31"/>
  <c r="J124" i="31"/>
  <c r="J126" i="31"/>
  <c r="J132" i="31"/>
  <c r="J134" i="31"/>
  <c r="J140" i="31"/>
  <c r="J142" i="31"/>
  <c r="J148" i="31"/>
  <c r="J150" i="31"/>
  <c r="J156" i="31"/>
  <c r="L158" i="31"/>
  <c r="J162" i="31"/>
  <c r="K165" i="31"/>
  <c r="K169" i="31"/>
  <c r="L78" i="31"/>
  <c r="L86" i="31"/>
  <c r="L94" i="31"/>
  <c r="L102" i="31"/>
  <c r="L110" i="31"/>
  <c r="L118" i="31"/>
  <c r="L126" i="31"/>
  <c r="L134" i="31"/>
  <c r="L142" i="31"/>
  <c r="L150" i="31"/>
  <c r="L156" i="31"/>
  <c r="L162" i="31"/>
  <c r="AG55" i="56"/>
  <c r="Z23" i="24"/>
  <c r="Z21" i="24"/>
  <c r="Z24" i="24"/>
  <c r="Z19" i="24"/>
  <c r="Z20" i="24"/>
  <c r="Z26" i="24"/>
  <c r="Z7" i="24"/>
  <c r="Z34" i="24"/>
  <c r="Z33" i="24" s="1"/>
  <c r="Z35" i="24"/>
  <c r="Z36" i="24"/>
  <c r="Z42" i="24"/>
  <c r="AG65" i="56"/>
  <c r="AG43" i="56"/>
  <c r="AG44" i="56"/>
  <c r="AG63" i="56"/>
  <c r="AG64" i="56"/>
  <c r="AG68" i="56"/>
  <c r="AG69" i="56"/>
  <c r="AG10" i="56"/>
  <c r="AG58" i="56"/>
  <c r="Z38" i="24"/>
  <c r="Z39" i="24"/>
  <c r="AG48" i="56"/>
  <c r="Z9" i="24"/>
  <c r="Z45" i="24"/>
  <c r="AG70" i="56"/>
  <c r="Z47" i="24"/>
  <c r="AE30" i="56"/>
  <c r="V30" i="56"/>
  <c r="E18" i="69"/>
  <c r="D19" i="69"/>
  <c r="D20" i="69"/>
  <c r="E31" i="69"/>
  <c r="F31" i="69"/>
  <c r="F32" i="69"/>
  <c r="F33" i="69"/>
  <c r="D32" i="69"/>
  <c r="D33" i="69"/>
  <c r="E39" i="69"/>
  <c r="D40" i="69"/>
  <c r="E47" i="69"/>
  <c r="D48" i="69"/>
  <c r="D49" i="69"/>
  <c r="E60" i="69"/>
  <c r="F60" i="69"/>
  <c r="F61" i="69"/>
  <c r="D61" i="69"/>
  <c r="E68" i="69"/>
  <c r="D69" i="69"/>
  <c r="D70" i="69"/>
  <c r="E76" i="69"/>
  <c r="D77" i="69"/>
  <c r="D78" i="69"/>
  <c r="T7" i="35"/>
  <c r="L7" i="35"/>
  <c r="D7" i="35"/>
  <c r="P7" i="35"/>
  <c r="H7" i="35"/>
  <c r="R7" i="35"/>
  <c r="T11" i="35"/>
  <c r="L11" i="35"/>
  <c r="D11" i="35"/>
  <c r="P11" i="35"/>
  <c r="H11" i="35"/>
  <c r="R11" i="35"/>
  <c r="P13" i="35"/>
  <c r="H13" i="35"/>
  <c r="T13" i="35"/>
  <c r="L13" i="35"/>
  <c r="D13" i="35"/>
  <c r="R13" i="35"/>
  <c r="G7" i="24"/>
  <c r="G11" i="24"/>
  <c r="G14" i="24"/>
  <c r="G21" i="24"/>
  <c r="G26" i="24"/>
  <c r="G30" i="24"/>
  <c r="G37" i="24"/>
  <c r="G41" i="24"/>
  <c r="G45" i="24"/>
  <c r="G49" i="24"/>
  <c r="D54" i="71"/>
  <c r="D58" i="71"/>
  <c r="D62" i="71"/>
  <c r="C58" i="69"/>
  <c r="K14" i="56"/>
  <c r="L14" i="56"/>
  <c r="K10" i="56"/>
  <c r="K78" i="56"/>
  <c r="K76" i="56"/>
  <c r="K74" i="56"/>
  <c r="AE74" i="56"/>
  <c r="K72" i="56"/>
  <c r="K70" i="56"/>
  <c r="K68" i="56"/>
  <c r="K66" i="56"/>
  <c r="L66" i="56"/>
  <c r="K64" i="56"/>
  <c r="K62" i="56"/>
  <c r="K60" i="56"/>
  <c r="K58" i="56"/>
  <c r="AE58" i="56"/>
  <c r="K56" i="56"/>
  <c r="K54" i="56"/>
  <c r="K52" i="56"/>
  <c r="K50" i="56"/>
  <c r="L50" i="56"/>
  <c r="K48" i="56"/>
  <c r="K46" i="56"/>
  <c r="K44" i="56"/>
  <c r="V44" i="56"/>
  <c r="K42" i="56"/>
  <c r="V42" i="56"/>
  <c r="C74" i="69"/>
  <c r="K79" i="56"/>
  <c r="L79" i="56"/>
  <c r="K77" i="56"/>
  <c r="K75" i="56"/>
  <c r="K73" i="56"/>
  <c r="K71" i="56"/>
  <c r="AE71" i="56"/>
  <c r="K69" i="56"/>
  <c r="K67" i="56"/>
  <c r="K65" i="56"/>
  <c r="K63" i="56"/>
  <c r="L63" i="56"/>
  <c r="K61" i="56"/>
  <c r="K59" i="56"/>
  <c r="K57" i="56"/>
  <c r="K55" i="56"/>
  <c r="V55" i="56"/>
  <c r="K53" i="56"/>
  <c r="V53" i="56"/>
  <c r="K51" i="56"/>
  <c r="AE51" i="56"/>
  <c r="K49" i="56"/>
  <c r="K47" i="56"/>
  <c r="K45" i="56"/>
  <c r="K43" i="56"/>
  <c r="V43" i="56"/>
  <c r="G8" i="56"/>
  <c r="G10" i="56"/>
  <c r="K19" i="56"/>
  <c r="L19" i="56"/>
  <c r="K31" i="56"/>
  <c r="G35" i="56"/>
  <c r="G39" i="56"/>
  <c r="G45" i="56"/>
  <c r="G49" i="56"/>
  <c r="G53" i="56"/>
  <c r="G57" i="56"/>
  <c r="G61" i="56"/>
  <c r="G65" i="56"/>
  <c r="G69" i="56"/>
  <c r="G73" i="56"/>
  <c r="R2" i="35"/>
  <c r="J2" i="35"/>
  <c r="N2" i="35"/>
  <c r="F2" i="35"/>
  <c r="L2" i="35"/>
  <c r="L17" i="35"/>
  <c r="I17" i="35"/>
  <c r="J6" i="35"/>
  <c r="F7" i="35"/>
  <c r="P8" i="35"/>
  <c r="H8" i="35"/>
  <c r="T8" i="35"/>
  <c r="L8" i="35"/>
  <c r="D8" i="35"/>
  <c r="R8" i="35"/>
  <c r="F11" i="35"/>
  <c r="T12" i="35"/>
  <c r="P12" i="35"/>
  <c r="J12" i="35"/>
  <c r="D12" i="35"/>
  <c r="F13" i="35"/>
  <c r="T14" i="35"/>
  <c r="L14" i="35"/>
  <c r="D14" i="35"/>
  <c r="P14" i="35"/>
  <c r="H14" i="35"/>
  <c r="R14" i="35"/>
  <c r="D19" i="52"/>
  <c r="C19" i="52"/>
  <c r="D23" i="52"/>
  <c r="C23" i="52"/>
  <c r="D27" i="52"/>
  <c r="C27" i="52"/>
  <c r="C36" i="52"/>
  <c r="D36" i="52"/>
  <c r="G8" i="24"/>
  <c r="G12" i="24"/>
  <c r="G15" i="24"/>
  <c r="G18" i="24"/>
  <c r="G22" i="24"/>
  <c r="G27" i="24"/>
  <c r="G31" i="24"/>
  <c r="G34" i="24"/>
  <c r="G38" i="24"/>
  <c r="G42" i="24"/>
  <c r="D55" i="71"/>
  <c r="E14" i="69"/>
  <c r="D15" i="69"/>
  <c r="D16" i="69"/>
  <c r="E22" i="69"/>
  <c r="D23" i="69"/>
  <c r="D24" i="69"/>
  <c r="E35" i="69"/>
  <c r="F35" i="69"/>
  <c r="F36" i="69"/>
  <c r="F37" i="69"/>
  <c r="D36" i="69"/>
  <c r="E43" i="69"/>
  <c r="D44" i="69"/>
  <c r="D45" i="69"/>
  <c r="E56" i="69"/>
  <c r="D57" i="69"/>
  <c r="L6" i="70"/>
  <c r="Y6" i="70" s="1"/>
  <c r="B1244" i="53" s="1"/>
  <c r="B23" i="53"/>
  <c r="E64" i="69"/>
  <c r="D65" i="69"/>
  <c r="D66" i="69"/>
  <c r="E72" i="69"/>
  <c r="D73" i="69"/>
  <c r="D74" i="69"/>
  <c r="G30" i="56"/>
  <c r="G28" i="56"/>
  <c r="G26" i="56"/>
  <c r="G22" i="56"/>
  <c r="G20" i="56"/>
  <c r="G18" i="56"/>
  <c r="G16" i="56"/>
  <c r="G13" i="56"/>
  <c r="G9" i="56"/>
  <c r="G6" i="56"/>
  <c r="G31" i="56"/>
  <c r="G29" i="56"/>
  <c r="G27" i="56"/>
  <c r="G25" i="56"/>
  <c r="G23" i="56"/>
  <c r="G21" i="56"/>
  <c r="G19" i="56"/>
  <c r="G17" i="56"/>
  <c r="G11" i="56"/>
  <c r="G7" i="56"/>
  <c r="K18" i="56"/>
  <c r="L18" i="56"/>
  <c r="K21" i="56"/>
  <c r="G34" i="56"/>
  <c r="G38" i="56"/>
  <c r="G44" i="56"/>
  <c r="G48" i="56"/>
  <c r="G52" i="56"/>
  <c r="G56" i="56"/>
  <c r="G60" i="56"/>
  <c r="G64" i="56"/>
  <c r="G68" i="56"/>
  <c r="G72" i="56"/>
  <c r="G76" i="56"/>
  <c r="P2" i="35"/>
  <c r="P17" i="35"/>
  <c r="J7" i="35"/>
  <c r="F8" i="35"/>
  <c r="T9" i="35"/>
  <c r="T17" i="35"/>
  <c r="L9" i="35"/>
  <c r="D9" i="35"/>
  <c r="P9" i="35"/>
  <c r="H9" i="35"/>
  <c r="R9" i="35"/>
  <c r="J11" i="35"/>
  <c r="F12" i="35"/>
  <c r="N12" i="35"/>
  <c r="J13" i="35"/>
  <c r="F14" i="35"/>
  <c r="P15" i="35"/>
  <c r="H15" i="35"/>
  <c r="T15" i="35"/>
  <c r="L15" i="35"/>
  <c r="D15" i="35"/>
  <c r="R15" i="35"/>
  <c r="D6" i="52"/>
  <c r="C6" i="52"/>
  <c r="D35" i="52"/>
  <c r="C35" i="52"/>
  <c r="C40" i="52"/>
  <c r="D40" i="52"/>
  <c r="K40" i="56"/>
  <c r="K38" i="56"/>
  <c r="AE38" i="56"/>
  <c r="K36" i="56"/>
  <c r="K34" i="56"/>
  <c r="K32" i="56"/>
  <c r="V32" i="56"/>
  <c r="C62" i="69"/>
  <c r="K39" i="56"/>
  <c r="K37" i="56"/>
  <c r="K35" i="56"/>
  <c r="V35" i="56"/>
  <c r="K23" i="56"/>
  <c r="K25" i="56"/>
  <c r="G33" i="56"/>
  <c r="G37" i="56"/>
  <c r="G43" i="56"/>
  <c r="G47" i="56"/>
  <c r="G51" i="56"/>
  <c r="G55" i="56"/>
  <c r="G59" i="56"/>
  <c r="G63" i="56"/>
  <c r="G67" i="56"/>
  <c r="G71" i="56"/>
  <c r="G75" i="56"/>
  <c r="G79" i="56"/>
  <c r="AG6" i="56"/>
  <c r="AG5" i="56" s="1"/>
  <c r="D2" i="35"/>
  <c r="T2" i="35"/>
  <c r="N7" i="35"/>
  <c r="J8" i="35"/>
  <c r="P10" i="35"/>
  <c r="H10" i="35"/>
  <c r="T10" i="35"/>
  <c r="L10" i="35"/>
  <c r="D10" i="35"/>
  <c r="R10" i="35"/>
  <c r="N11" i="35"/>
  <c r="H12" i="35"/>
  <c r="R12" i="35"/>
  <c r="N13" i="35"/>
  <c r="J14" i="35"/>
  <c r="T16" i="35"/>
  <c r="L16" i="35"/>
  <c r="D16" i="35"/>
  <c r="P16" i="35"/>
  <c r="H16" i="35"/>
  <c r="R16" i="35"/>
  <c r="D31" i="52"/>
  <c r="C31" i="52"/>
  <c r="D39" i="52"/>
  <c r="C39" i="52"/>
  <c r="J3" i="35"/>
  <c r="R3" i="35"/>
  <c r="J5" i="35"/>
  <c r="C43" i="52"/>
  <c r="D44" i="52"/>
  <c r="C47" i="52"/>
  <c r="D48" i="52"/>
  <c r="C51" i="52"/>
  <c r="D52" i="52"/>
  <c r="N63" i="5"/>
  <c r="N45" i="5"/>
  <c r="I65" i="5"/>
  <c r="I73" i="5"/>
  <c r="F3" i="35"/>
  <c r="J4" i="35"/>
  <c r="F5" i="35"/>
  <c r="F17" i="35"/>
  <c r="N53" i="5"/>
  <c r="E5" i="5"/>
  <c r="E7" i="5"/>
  <c r="F7" i="5"/>
  <c r="H7" i="5"/>
  <c r="E9" i="5"/>
  <c r="F9" i="5"/>
  <c r="H9" i="5"/>
  <c r="E11" i="5"/>
  <c r="F11" i="5"/>
  <c r="H11" i="5"/>
  <c r="E13" i="5"/>
  <c r="F13" i="5"/>
  <c r="H13" i="5"/>
  <c r="E15" i="5"/>
  <c r="F15" i="5"/>
  <c r="H15" i="5"/>
  <c r="N15" i="5"/>
  <c r="E17" i="5"/>
  <c r="F17" i="5"/>
  <c r="H17" i="5"/>
  <c r="N17" i="5"/>
  <c r="E19" i="5"/>
  <c r="F19" i="5"/>
  <c r="H19" i="5"/>
  <c r="I38" i="5"/>
  <c r="O2" i="5"/>
  <c r="N42" i="5"/>
  <c r="N47" i="5"/>
  <c r="E6" i="5"/>
  <c r="F6" i="5"/>
  <c r="H6" i="5"/>
  <c r="E8" i="5"/>
  <c r="F8" i="5"/>
  <c r="H8" i="5"/>
  <c r="E10" i="5"/>
  <c r="F10" i="5"/>
  <c r="H10" i="5"/>
  <c r="E12" i="5"/>
  <c r="F12" i="5"/>
  <c r="H12" i="5"/>
  <c r="E14" i="5"/>
  <c r="F14" i="5"/>
  <c r="H14" i="5"/>
  <c r="E16" i="5"/>
  <c r="F16" i="5"/>
  <c r="H16" i="5"/>
  <c r="X6" i="9"/>
  <c r="L69" i="31"/>
  <c r="L77" i="31"/>
  <c r="J79" i="31"/>
  <c r="L81" i="31"/>
  <c r="J83" i="31"/>
  <c r="L85" i="31"/>
  <c r="J87" i="31"/>
  <c r="L89" i="31"/>
  <c r="J91" i="31"/>
  <c r="L93" i="31"/>
  <c r="J95" i="31"/>
  <c r="L97" i="31"/>
  <c r="J99" i="31"/>
  <c r="L101" i="31"/>
  <c r="J103" i="31"/>
  <c r="L105" i="31"/>
  <c r="J107" i="31"/>
  <c r="L109" i="31"/>
  <c r="J111" i="31"/>
  <c r="L113" i="31"/>
  <c r="J115" i="31"/>
  <c r="L117" i="31"/>
  <c r="J119" i="31"/>
  <c r="L121" i="31"/>
  <c r="J123" i="31"/>
  <c r="L125" i="31"/>
  <c r="J127" i="31"/>
  <c r="L129" i="31"/>
  <c r="J131" i="31"/>
  <c r="L133" i="31"/>
  <c r="J135" i="31"/>
  <c r="L137" i="31"/>
  <c r="J139" i="31"/>
  <c r="L141" i="31"/>
  <c r="J143" i="31"/>
  <c r="L145" i="31"/>
  <c r="J147" i="31"/>
  <c r="L149" i="31"/>
  <c r="J151" i="31"/>
  <c r="L153" i="31"/>
  <c r="J155" i="31"/>
  <c r="L157" i="31"/>
  <c r="J159" i="31"/>
  <c r="L161" i="31"/>
  <c r="J163" i="31"/>
  <c r="L165" i="31"/>
  <c r="J167" i="31"/>
  <c r="K168" i="31"/>
  <c r="L169" i="31"/>
  <c r="K79" i="31"/>
  <c r="K83" i="31"/>
  <c r="K87" i="31"/>
  <c r="K91" i="31"/>
  <c r="K95" i="31"/>
  <c r="K99" i="31"/>
  <c r="K103" i="31"/>
  <c r="K107" i="31"/>
  <c r="K111" i="31"/>
  <c r="K115" i="31"/>
  <c r="K119" i="31"/>
  <c r="K123" i="31"/>
  <c r="K127" i="31"/>
  <c r="K131" i="31"/>
  <c r="K135" i="31"/>
  <c r="K139" i="31"/>
  <c r="K143" i="31"/>
  <c r="K147" i="31"/>
  <c r="K151" i="31"/>
  <c r="K155" i="31"/>
  <c r="K159" i="31"/>
  <c r="K163" i="31"/>
  <c r="K167" i="31"/>
  <c r="AJ3" i="9"/>
  <c r="B2312" i="53"/>
  <c r="H19" i="70"/>
  <c r="H20" i="70"/>
  <c r="H41" i="70"/>
  <c r="H25" i="70"/>
  <c r="H7" i="70"/>
  <c r="H28" i="70"/>
  <c r="V3" i="11"/>
  <c r="AC3" i="11"/>
  <c r="AE3" i="9"/>
  <c r="W3" i="9"/>
  <c r="AI3" i="9"/>
  <c r="AA3" i="9"/>
  <c r="AF3" i="9"/>
  <c r="X3" i="9"/>
  <c r="AB15" i="9"/>
  <c r="W79" i="56"/>
  <c r="T49" i="24"/>
  <c r="T34" i="24"/>
  <c r="AF6" i="9"/>
  <c r="AD6" i="9"/>
  <c r="AJ12" i="9"/>
  <c r="AC12" i="9"/>
  <c r="T48" i="24"/>
  <c r="W20" i="56"/>
  <c r="W73" i="56"/>
  <c r="W66" i="56"/>
  <c r="W17" i="56"/>
  <c r="AE17" i="9"/>
  <c r="T6" i="24"/>
  <c r="W7" i="56"/>
  <c r="W25" i="56"/>
  <c r="W59" i="56"/>
  <c r="AK12" i="9"/>
  <c r="Y3" i="9"/>
  <c r="AC3" i="9"/>
  <c r="AG3" i="9"/>
  <c r="AK3" i="9"/>
  <c r="V3" i="9"/>
  <c r="Z3" i="9"/>
  <c r="AD3" i="9"/>
  <c r="AH3" i="9"/>
  <c r="AC5" i="9"/>
  <c r="AE9" i="9"/>
  <c r="J33" i="31"/>
  <c r="L33" i="31"/>
  <c r="K33" i="31"/>
  <c r="AH15" i="9"/>
  <c r="V34" i="9"/>
  <c r="D3" i="11"/>
  <c r="E6" i="31"/>
  <c r="E8" i="31"/>
  <c r="D6" i="31"/>
  <c r="D7" i="31"/>
  <c r="D5" i="31"/>
  <c r="D8" i="31"/>
  <c r="E4" i="31"/>
  <c r="F4" i="31"/>
  <c r="F6" i="31"/>
  <c r="F8" i="31"/>
  <c r="E10" i="31"/>
  <c r="E3" i="31"/>
  <c r="E5" i="31"/>
  <c r="E7" i="31"/>
  <c r="F10" i="31"/>
  <c r="F3" i="31"/>
  <c r="F5" i="31"/>
  <c r="F7" i="31"/>
  <c r="D4" i="31"/>
  <c r="D3" i="31"/>
  <c r="B3104" i="53"/>
  <c r="B3074" i="53"/>
  <c r="B1513" i="53"/>
  <c r="B1572" i="53"/>
  <c r="B2984" i="53"/>
  <c r="B3014" i="53"/>
  <c r="B3044" i="53"/>
  <c r="B3114" i="53"/>
  <c r="B3010" i="53"/>
  <c r="B3040" i="53"/>
  <c r="B3080" i="53"/>
  <c r="B3110" i="53"/>
  <c r="B3105" i="53"/>
  <c r="B3075" i="53"/>
  <c r="B3111" i="53"/>
  <c r="B3081" i="53"/>
  <c r="B3107" i="53"/>
  <c r="B3077" i="53"/>
  <c r="F5" i="5"/>
  <c r="H5" i="5"/>
  <c r="B2954" i="53"/>
  <c r="B2656" i="53"/>
  <c r="B2686" i="53"/>
  <c r="B2879" i="53"/>
  <c r="B2998" i="53"/>
  <c r="B2925" i="53"/>
  <c r="D70" i="71"/>
  <c r="D73" i="71"/>
  <c r="A9" i="56"/>
  <c r="A10" i="56"/>
  <c r="A11" i="56"/>
  <c r="A13" i="56"/>
  <c r="A14" i="56"/>
  <c r="A16" i="56"/>
  <c r="A17" i="56"/>
  <c r="A18" i="56"/>
  <c r="A19" i="56"/>
  <c r="A20" i="56"/>
  <c r="A21" i="56"/>
  <c r="A22" i="56"/>
  <c r="A23" i="56"/>
  <c r="A25" i="56"/>
  <c r="A26" i="56"/>
  <c r="A27" i="56"/>
  <c r="A28" i="56"/>
  <c r="A29" i="56"/>
  <c r="A30" i="56"/>
  <c r="A31" i="56"/>
  <c r="A32" i="56"/>
  <c r="A33" i="56"/>
  <c r="A34" i="56"/>
  <c r="A35" i="56"/>
  <c r="A36" i="56"/>
  <c r="A37" i="56"/>
  <c r="A38" i="56"/>
  <c r="A39" i="56"/>
  <c r="A40" i="56"/>
  <c r="A42" i="56"/>
  <c r="A43" i="56"/>
  <c r="A44" i="56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  <c r="A59" i="56"/>
  <c r="A60" i="56"/>
  <c r="A61" i="56"/>
  <c r="A62" i="56"/>
  <c r="A63" i="56"/>
  <c r="A64" i="56"/>
  <c r="A65" i="56"/>
  <c r="A66" i="56"/>
  <c r="A67" i="56"/>
  <c r="A68" i="56"/>
  <c r="A69" i="56"/>
  <c r="A70" i="56"/>
  <c r="A71" i="56"/>
  <c r="A72" i="56"/>
  <c r="A73" i="56"/>
  <c r="A74" i="56"/>
  <c r="A75" i="56"/>
  <c r="A76" i="56"/>
  <c r="A77" i="56"/>
  <c r="A78" i="56"/>
  <c r="A79" i="56"/>
  <c r="B1530" i="53"/>
  <c r="D65" i="71"/>
  <c r="B2865" i="53"/>
  <c r="AE20" i="56"/>
  <c r="B2806" i="53"/>
  <c r="D67" i="71"/>
  <c r="D74" i="71"/>
  <c r="D69" i="71"/>
  <c r="AG70" i="9"/>
  <c r="Y66" i="9"/>
  <c r="AF71" i="9"/>
  <c r="AC71" i="9"/>
  <c r="AB71" i="9"/>
  <c r="AI71" i="9"/>
  <c r="AD71" i="9"/>
  <c r="Z71" i="9"/>
  <c r="AB6" i="9"/>
  <c r="Z6" i="9"/>
  <c r="Y6" i="9"/>
  <c r="AK22" i="9"/>
  <c r="Y29" i="9"/>
  <c r="AC22" i="9"/>
  <c r="AB23" i="9"/>
  <c r="V30" i="9"/>
  <c r="B2835" i="53"/>
  <c r="B2416" i="53"/>
  <c r="B2446" i="53"/>
  <c r="B2136" i="53"/>
  <c r="B2431" i="53"/>
  <c r="B1545" i="53"/>
  <c r="B2081" i="53"/>
  <c r="B2776" i="53"/>
  <c r="W75" i="56"/>
  <c r="W53" i="56"/>
  <c r="W19" i="56"/>
  <c r="W8" i="56"/>
  <c r="T15" i="24"/>
  <c r="W67" i="56"/>
  <c r="W11" i="56"/>
  <c r="T16" i="24"/>
  <c r="W62" i="56"/>
  <c r="T32" i="24"/>
  <c r="W72" i="56"/>
  <c r="W16" i="56"/>
  <c r="T8" i="24"/>
  <c r="W14" i="56"/>
  <c r="W58" i="56"/>
  <c r="W76" i="56"/>
  <c r="W23" i="56"/>
  <c r="W64" i="56"/>
  <c r="W54" i="56"/>
  <c r="T25" i="24"/>
  <c r="T28" i="24"/>
  <c r="T35" i="24"/>
  <c r="T45" i="24"/>
  <c r="W49" i="56"/>
  <c r="T12" i="24"/>
  <c r="W61" i="56"/>
  <c r="W71" i="56"/>
  <c r="W55" i="56"/>
  <c r="W18" i="56"/>
  <c r="W70" i="56"/>
  <c r="W68" i="56"/>
  <c r="T23" i="24"/>
  <c r="W42" i="56"/>
  <c r="W22" i="56"/>
  <c r="W21" i="56"/>
  <c r="W78" i="56"/>
  <c r="W32" i="56"/>
  <c r="W9" i="56"/>
  <c r="W77" i="56"/>
  <c r="W30" i="56"/>
  <c r="T39" i="24"/>
  <c r="T18" i="24"/>
  <c r="W74" i="56"/>
  <c r="W65" i="56"/>
  <c r="T37" i="24"/>
  <c r="T14" i="24"/>
  <c r="Y61" i="9"/>
  <c r="Z24" i="9"/>
  <c r="W39" i="56"/>
  <c r="W69" i="56"/>
  <c r="W43" i="56"/>
  <c r="W46" i="56"/>
  <c r="W47" i="56"/>
  <c r="T7" i="24"/>
  <c r="D71" i="71"/>
  <c r="D75" i="71"/>
  <c r="D72" i="71"/>
  <c r="D64" i="71"/>
  <c r="D68" i="71"/>
  <c r="B2853" i="53"/>
  <c r="B1965" i="53"/>
  <c r="B2315" i="53"/>
  <c r="B1787" i="53"/>
  <c r="B2139" i="53"/>
  <c r="B2913" i="53"/>
  <c r="B2794" i="53"/>
  <c r="B2674" i="53"/>
  <c r="B2554" i="53"/>
  <c r="B2972" i="53"/>
  <c r="B2494" i="53"/>
  <c r="B1548" i="53"/>
  <c r="B2614" i="53"/>
  <c r="B2434" i="53"/>
  <c r="B2375" i="53"/>
  <c r="B2194" i="53"/>
  <c r="B2551" i="53"/>
  <c r="B2020" i="53"/>
  <c r="B2256" i="53"/>
  <c r="B2023" i="53"/>
  <c r="B1784" i="53"/>
  <c r="B2197" i="53"/>
  <c r="B1847" i="53"/>
  <c r="B2734" i="53"/>
  <c r="B2078" i="53"/>
  <c r="B2791" i="53"/>
  <c r="AD24" i="9"/>
  <c r="W24" i="9"/>
  <c r="AJ24" i="9"/>
  <c r="AC24" i="9"/>
  <c r="AA24" i="9"/>
  <c r="V39" i="9"/>
  <c r="AB24" i="9"/>
  <c r="X24" i="9"/>
  <c r="AI39" i="9"/>
  <c r="V24" i="9"/>
  <c r="AJ18" i="9"/>
  <c r="V48" i="9"/>
  <c r="AK48" i="9"/>
  <c r="AJ58" i="9"/>
  <c r="AC32" i="9"/>
  <c r="AD47" i="9"/>
  <c r="AH59" i="9"/>
  <c r="Z32" i="9"/>
  <c r="V32" i="9"/>
  <c r="AD32" i="9"/>
  <c r="AB35" i="9"/>
  <c r="AH35" i="9"/>
  <c r="AJ35" i="9"/>
  <c r="Y47" i="9"/>
  <c r="AG47" i="9"/>
  <c r="AD49" i="9"/>
  <c r="AB47" i="9"/>
  <c r="AJ43" i="9"/>
  <c r="AB45" i="9"/>
  <c r="AC47" i="9"/>
  <c r="V47" i="9"/>
  <c r="AJ47" i="9"/>
  <c r="Z43" i="9"/>
  <c r="V45" i="9"/>
  <c r="AE43" i="9"/>
  <c r="W32" i="9"/>
  <c r="W58" i="9"/>
  <c r="AF57" i="9"/>
  <c r="V58" i="9"/>
  <c r="AK45" i="9"/>
  <c r="AC35" i="9"/>
  <c r="AG41" i="9"/>
  <c r="Y41" i="9"/>
  <c r="Y35" i="9"/>
  <c r="AF48" i="9"/>
  <c r="AB49" i="9"/>
  <c r="AG45" i="9"/>
  <c r="V49" i="9"/>
  <c r="Z41" i="9"/>
  <c r="AA32" i="9"/>
  <c r="AK32" i="9"/>
  <c r="AE57" i="9"/>
  <c r="Y32" i="9"/>
  <c r="Y45" i="9"/>
  <c r="AE45" i="9"/>
  <c r="AI41" i="9"/>
  <c r="Y59" i="9"/>
  <c r="AD45" i="9"/>
  <c r="AJ41" i="9"/>
  <c r="AC45" i="9"/>
  <c r="AH50" i="9"/>
  <c r="AI45" i="9"/>
  <c r="AH57" i="9"/>
  <c r="X45" i="9"/>
  <c r="AK41" i="9"/>
  <c r="AC46" i="9"/>
  <c r="AA45" i="9"/>
  <c r="AF35" i="9"/>
  <c r="AH53" i="9"/>
  <c r="AJ45" i="9"/>
  <c r="AH45" i="9"/>
  <c r="Z45" i="9"/>
  <c r="AD59" i="9"/>
  <c r="AE35" i="9"/>
  <c r="W35" i="9"/>
  <c r="W45" i="9"/>
  <c r="AG58" i="9"/>
  <c r="AI58" i="9"/>
  <c r="X35" i="9"/>
  <c r="Z35" i="9"/>
  <c r="V35" i="9"/>
  <c r="W54" i="9"/>
  <c r="W36" i="9"/>
  <c r="AB48" i="9"/>
  <c r="AB41" i="9"/>
  <c r="AI48" i="9"/>
  <c r="AG48" i="9"/>
  <c r="AK35" i="9"/>
  <c r="Z48" i="9"/>
  <c r="AF45" i="9"/>
  <c r="Y58" i="9"/>
  <c r="AA35" i="9"/>
  <c r="V41" i="9"/>
  <c r="AI50" i="9"/>
  <c r="AA48" i="9"/>
  <c r="AA47" i="9"/>
  <c r="AA41" i="9"/>
  <c r="T46" i="24"/>
  <c r="T41" i="24"/>
  <c r="W26" i="56"/>
  <c r="T38" i="24"/>
  <c r="W10" i="56"/>
  <c r="T9" i="24"/>
  <c r="I17" i="5"/>
  <c r="L25" i="56"/>
  <c r="AE25" i="56"/>
  <c r="V25" i="56"/>
  <c r="AE39" i="56"/>
  <c r="L39" i="56"/>
  <c r="AE36" i="56"/>
  <c r="L36" i="56"/>
  <c r="F64" i="69"/>
  <c r="G64" i="69"/>
  <c r="E65" i="69"/>
  <c r="E66" i="69"/>
  <c r="F43" i="69"/>
  <c r="F44" i="69"/>
  <c r="F45" i="69"/>
  <c r="E44" i="69"/>
  <c r="E45" i="69"/>
  <c r="F22" i="69"/>
  <c r="F23" i="69"/>
  <c r="F24" i="69"/>
  <c r="E23" i="69"/>
  <c r="R17" i="35"/>
  <c r="L31" i="56"/>
  <c r="AE31" i="56"/>
  <c r="AE49" i="56"/>
  <c r="L49" i="56"/>
  <c r="AE57" i="56"/>
  <c r="L57" i="56"/>
  <c r="AE65" i="56"/>
  <c r="L65" i="56"/>
  <c r="AE73" i="56"/>
  <c r="L73" i="56"/>
  <c r="AE48" i="56"/>
  <c r="L48" i="56"/>
  <c r="AE56" i="56"/>
  <c r="L56" i="56"/>
  <c r="AE64" i="56"/>
  <c r="L64" i="56"/>
  <c r="AE72" i="56"/>
  <c r="L72" i="56"/>
  <c r="L10" i="56"/>
  <c r="AE10" i="56"/>
  <c r="W35" i="56"/>
  <c r="W63" i="56"/>
  <c r="T11" i="24"/>
  <c r="W45" i="56"/>
  <c r="I15" i="5"/>
  <c r="L23" i="56"/>
  <c r="AE23" i="56"/>
  <c r="L21" i="56"/>
  <c r="AE21" i="56"/>
  <c r="D58" i="69"/>
  <c r="K8" i="56"/>
  <c r="K7" i="56"/>
  <c r="D37" i="69"/>
  <c r="AE19" i="56"/>
  <c r="AE43" i="56"/>
  <c r="L51" i="56"/>
  <c r="AE59" i="56"/>
  <c r="L59" i="56"/>
  <c r="AE67" i="56"/>
  <c r="L67" i="56"/>
  <c r="AE75" i="56"/>
  <c r="L75" i="56"/>
  <c r="AE42" i="56"/>
  <c r="L42" i="56"/>
  <c r="AE50" i="56"/>
  <c r="L58" i="56"/>
  <c r="AE66" i="56"/>
  <c r="L74" i="56"/>
  <c r="AE14" i="56"/>
  <c r="F68" i="69"/>
  <c r="E69" i="69"/>
  <c r="E70" i="69"/>
  <c r="F47" i="69"/>
  <c r="F48" i="69"/>
  <c r="F49" i="69"/>
  <c r="E48" i="69"/>
  <c r="E49" i="69"/>
  <c r="E32" i="69"/>
  <c r="E33" i="69"/>
  <c r="V31" i="56"/>
  <c r="AE35" i="56"/>
  <c r="L35" i="56"/>
  <c r="AE32" i="56"/>
  <c r="L32" i="56"/>
  <c r="AE40" i="56"/>
  <c r="L40" i="56"/>
  <c r="F72" i="69"/>
  <c r="F73" i="69"/>
  <c r="F74" i="69"/>
  <c r="E73" i="69"/>
  <c r="E74" i="69"/>
  <c r="F56" i="69"/>
  <c r="F57" i="69"/>
  <c r="F58" i="69"/>
  <c r="E57" i="69"/>
  <c r="E36" i="69"/>
  <c r="K13" i="56"/>
  <c r="AE13" i="56"/>
  <c r="F14" i="69"/>
  <c r="F15" i="69"/>
  <c r="F16" i="69"/>
  <c r="E15" i="69"/>
  <c r="E16" i="69"/>
  <c r="AE45" i="56"/>
  <c r="L45" i="56"/>
  <c r="AE53" i="56"/>
  <c r="L53" i="56"/>
  <c r="AE61" i="56"/>
  <c r="L61" i="56"/>
  <c r="AE69" i="56"/>
  <c r="L69" i="56"/>
  <c r="AE77" i="56"/>
  <c r="L77" i="56"/>
  <c r="AE44" i="56"/>
  <c r="L44" i="56"/>
  <c r="AE52" i="56"/>
  <c r="L52" i="56"/>
  <c r="AE60" i="56"/>
  <c r="L60" i="56"/>
  <c r="AE68" i="56"/>
  <c r="L68" i="56"/>
  <c r="AE76" i="56"/>
  <c r="L76" i="56"/>
  <c r="K29" i="56"/>
  <c r="L29" i="56"/>
  <c r="D62" i="69"/>
  <c r="K27" i="56"/>
  <c r="L30" i="70"/>
  <c r="B564" i="53" s="1"/>
  <c r="K28" i="56"/>
  <c r="V28" i="56"/>
  <c r="L19" i="70"/>
  <c r="B303" i="53"/>
  <c r="D41" i="69"/>
  <c r="P43" i="5"/>
  <c r="Q38" i="5"/>
  <c r="P38" i="5"/>
  <c r="AE37" i="56"/>
  <c r="L37" i="56"/>
  <c r="AE34" i="56"/>
  <c r="L34" i="56"/>
  <c r="AE47" i="56"/>
  <c r="L47" i="56"/>
  <c r="L55" i="56"/>
  <c r="AE63" i="56"/>
  <c r="L71" i="56"/>
  <c r="AE79" i="56"/>
  <c r="AE46" i="56"/>
  <c r="L46" i="56"/>
  <c r="AE54" i="56"/>
  <c r="L54" i="56"/>
  <c r="AE62" i="56"/>
  <c r="L62" i="56"/>
  <c r="AE70" i="56"/>
  <c r="L70" i="56"/>
  <c r="AE78" i="56"/>
  <c r="L78" i="56"/>
  <c r="F76" i="69"/>
  <c r="F77" i="69"/>
  <c r="F78" i="69"/>
  <c r="E77" i="69"/>
  <c r="E78" i="69"/>
  <c r="F39" i="69"/>
  <c r="E40" i="69"/>
  <c r="F18" i="69"/>
  <c r="F19" i="69"/>
  <c r="F20" i="69"/>
  <c r="E19" i="69"/>
  <c r="E20" i="69"/>
  <c r="T47" i="24"/>
  <c r="W57" i="56"/>
  <c r="W13" i="56"/>
  <c r="B2293" i="53"/>
  <c r="B3084" i="53"/>
  <c r="B3078" i="53"/>
  <c r="B3108" i="53"/>
  <c r="B3054" i="53"/>
  <c r="B3024" i="53"/>
  <c r="B3106" i="53"/>
  <c r="B3076" i="53"/>
  <c r="B3109" i="53"/>
  <c r="B3079" i="53"/>
  <c r="B3049" i="53"/>
  <c r="B3019" i="53"/>
  <c r="B3018" i="53"/>
  <c r="B3048" i="53"/>
  <c r="B3085" i="53"/>
  <c r="B3115" i="53"/>
  <c r="B3025" i="53"/>
  <c r="B3055" i="53"/>
  <c r="B2280" i="53"/>
  <c r="B2250" i="53"/>
  <c r="B2831" i="53"/>
  <c r="B2861" i="53"/>
  <c r="B2995" i="53"/>
  <c r="B1541" i="53"/>
  <c r="B2965" i="53"/>
  <c r="D78" i="71"/>
  <c r="D81" i="71"/>
  <c r="D87" i="71"/>
  <c r="D79" i="71"/>
  <c r="D86" i="71"/>
  <c r="D84" i="71"/>
  <c r="D76" i="71"/>
  <c r="D77" i="71"/>
  <c r="D82" i="71"/>
  <c r="D80" i="71"/>
  <c r="D83" i="71"/>
  <c r="D85" i="71"/>
  <c r="G35" i="69"/>
  <c r="H35" i="69"/>
  <c r="G47" i="69"/>
  <c r="L8" i="56"/>
  <c r="AE8" i="56"/>
  <c r="F65" i="69"/>
  <c r="F66" i="69"/>
  <c r="L27" i="56"/>
  <c r="AE27" i="56"/>
  <c r="E58" i="69"/>
  <c r="K9" i="56"/>
  <c r="AE9" i="56"/>
  <c r="G18" i="69"/>
  <c r="H18" i="69"/>
  <c r="F62" i="69"/>
  <c r="G60" i="69"/>
  <c r="H60" i="69"/>
  <c r="G14" i="69"/>
  <c r="G15" i="69"/>
  <c r="G16" i="69"/>
  <c r="G31" i="69"/>
  <c r="H31" i="69"/>
  <c r="H32" i="69"/>
  <c r="F69" i="69"/>
  <c r="F70" i="69"/>
  <c r="G68" i="69"/>
  <c r="H68" i="69"/>
  <c r="G69" i="69"/>
  <c r="G70" i="69"/>
  <c r="G43" i="69"/>
  <c r="H43" i="69"/>
  <c r="E41" i="69"/>
  <c r="L28" i="56"/>
  <c r="AE29" i="56"/>
  <c r="V29" i="56"/>
  <c r="K26" i="56"/>
  <c r="AE26" i="56"/>
  <c r="K11" i="56"/>
  <c r="AE11" i="56"/>
  <c r="E24" i="69"/>
  <c r="K6" i="56"/>
  <c r="AE6" i="56"/>
  <c r="AD4" i="56"/>
  <c r="B2845" i="53"/>
  <c r="B1578" i="53"/>
  <c r="B1519" i="53"/>
  <c r="B1526" i="53"/>
  <c r="B2950" i="53"/>
  <c r="B2980" i="53"/>
  <c r="B3112" i="53"/>
  <c r="B3082" i="53"/>
  <c r="B2875" i="53"/>
  <c r="D97" i="71"/>
  <c r="D91" i="71"/>
  <c r="D98" i="71"/>
  <c r="D93" i="71"/>
  <c r="D94" i="71"/>
  <c r="D90" i="71"/>
  <c r="D95" i="71"/>
  <c r="D89" i="71"/>
  <c r="D99" i="71"/>
  <c r="D100" i="71"/>
  <c r="D96" i="71"/>
  <c r="D92" i="71"/>
  <c r="D88" i="71"/>
  <c r="L6" i="56"/>
  <c r="H33" i="69"/>
  <c r="L11" i="56"/>
  <c r="B1638" i="53"/>
  <c r="B1608" i="53"/>
  <c r="B1540" i="53"/>
  <c r="B2964" i="53"/>
  <c r="B2994" i="53"/>
  <c r="B2458" i="53"/>
  <c r="B2428" i="53"/>
  <c r="D111" i="71"/>
  <c r="D120" i="71"/>
  <c r="B1544" i="53"/>
  <c r="D113" i="71"/>
  <c r="B2968" i="53"/>
  <c r="B2849" i="53"/>
  <c r="B1340" i="53"/>
  <c r="B1369" i="53"/>
  <c r="B2059" i="53"/>
  <c r="B3113" i="53"/>
  <c r="B3083" i="53"/>
  <c r="B2425" i="53"/>
  <c r="B2455" i="53"/>
  <c r="B3087" i="53"/>
  <c r="B3117" i="53"/>
  <c r="B1399" i="53"/>
  <c r="B1429" i="53"/>
  <c r="B1757" i="53"/>
  <c r="B1727" i="53"/>
  <c r="B3123" i="53"/>
  <c r="B3093" i="53"/>
  <c r="B1280" i="53"/>
  <c r="B1310" i="53"/>
  <c r="B1459" i="53"/>
  <c r="B1489" i="53"/>
  <c r="B3051" i="53"/>
  <c r="B3047" i="53"/>
  <c r="B3050" i="53"/>
  <c r="B3046" i="53"/>
  <c r="B3017" i="53"/>
  <c r="B3015" i="53"/>
  <c r="B3020" i="53"/>
  <c r="B3021" i="53"/>
  <c r="B3045" i="53"/>
  <c r="B3016" i="53"/>
  <c r="B3023" i="53"/>
  <c r="B3052" i="53"/>
  <c r="B3022" i="53"/>
  <c r="B3053" i="53"/>
  <c r="B3057" i="53"/>
  <c r="B3027" i="53"/>
  <c r="B1697" i="53"/>
  <c r="B1667" i="53"/>
  <c r="B3033" i="53"/>
  <c r="B3063" i="53"/>
  <c r="V5" i="11"/>
  <c r="AA5" i="11" s="1"/>
  <c r="Y5" i="9"/>
  <c r="AJ9" i="9"/>
  <c r="AA9" i="9"/>
  <c r="AB9" i="9"/>
  <c r="V9" i="11"/>
  <c r="I9" i="31" s="1"/>
  <c r="K9" i="31" s="1"/>
  <c r="AC9" i="9"/>
  <c r="AI17" i="9"/>
  <c r="V17" i="11"/>
  <c r="X17" i="11" s="1"/>
  <c r="AK17" i="9"/>
  <c r="AA17" i="9"/>
  <c r="Z17" i="9"/>
  <c r="AD17" i="9"/>
  <c r="AC21" i="9"/>
  <c r="AJ25" i="9"/>
  <c r="AH25" i="9"/>
  <c r="Z25" i="9"/>
  <c r="AF25" i="9"/>
  <c r="AC25" i="9"/>
  <c r="AE25" i="9"/>
  <c r="AA25" i="9"/>
  <c r="W29" i="9"/>
  <c r="AA29" i="9"/>
  <c r="AE29" i="9"/>
  <c r="Z44" i="9"/>
  <c r="W44" i="9"/>
  <c r="AD52" i="9"/>
  <c r="AF52" i="9"/>
  <c r="AK52" i="9"/>
  <c r="Z3" i="11"/>
  <c r="AI3" i="11"/>
  <c r="V29" i="9"/>
  <c r="AG29" i="9"/>
  <c r="AF29" i="9"/>
  <c r="AC44" i="9"/>
  <c r="AF44" i="9"/>
  <c r="Y52" i="9"/>
  <c r="W52" i="9"/>
  <c r="V44" i="11"/>
  <c r="AI9" i="9"/>
  <c r="V29" i="11"/>
  <c r="AI29" i="11" s="1"/>
  <c r="AH21" i="9"/>
  <c r="AE5" i="9"/>
  <c r="AC17" i="9"/>
  <c r="W25" i="9"/>
  <c r="AD5" i="9"/>
  <c r="AG9" i="9"/>
  <c r="V22" i="11"/>
  <c r="AH60" i="9"/>
  <c r="AC60" i="9"/>
  <c r="Z60" i="9"/>
  <c r="AH48" i="9"/>
  <c r="AH36" i="9"/>
  <c r="Y48" i="9"/>
  <c r="AI36" i="9"/>
  <c r="AI56" i="9"/>
  <c r="AC56" i="9"/>
  <c r="AD56" i="9"/>
  <c r="Y36" i="9"/>
  <c r="V36" i="9"/>
  <c r="X48" i="9"/>
  <c r="Z56" i="9"/>
  <c r="X36" i="9"/>
  <c r="AC48" i="9"/>
  <c r="X3" i="11"/>
  <c r="AG3" i="11"/>
  <c r="AD29" i="9"/>
  <c r="AB29" i="9"/>
  <c r="Z29" i="9"/>
  <c r="AK44" i="9"/>
  <c r="AJ44" i="9"/>
  <c r="AD44" i="9"/>
  <c r="AC52" i="9"/>
  <c r="V52" i="9"/>
  <c r="AH9" i="9"/>
  <c r="AK5" i="9"/>
  <c r="AJ5" i="9"/>
  <c r="AI21" i="9"/>
  <c r="AA5" i="9"/>
  <c r="AK25" i="9"/>
  <c r="X25" i="9"/>
  <c r="BW21" i="17"/>
  <c r="H19" i="69"/>
  <c r="H20" i="69"/>
  <c r="I18" i="69"/>
  <c r="I19" i="69"/>
  <c r="I20" i="69"/>
  <c r="G65" i="69"/>
  <c r="G66" i="69"/>
  <c r="H64" i="69"/>
  <c r="H65" i="69"/>
  <c r="H66" i="69"/>
  <c r="I11" i="5"/>
  <c r="N11" i="5"/>
  <c r="N18" i="5"/>
  <c r="I18" i="5"/>
  <c r="I22" i="5"/>
  <c r="N22" i="5"/>
  <c r="I32" i="5"/>
  <c r="N32" i="5"/>
  <c r="I49" i="5"/>
  <c r="N49" i="5"/>
  <c r="I68" i="5"/>
  <c r="N68" i="5"/>
  <c r="I72" i="5"/>
  <c r="N72" i="5"/>
  <c r="I43" i="69"/>
  <c r="I44" i="69"/>
  <c r="I45" i="69"/>
  <c r="H44" i="69"/>
  <c r="H45" i="69"/>
  <c r="I12" i="5"/>
  <c r="N12" i="5"/>
  <c r="N19" i="5"/>
  <c r="I19" i="5"/>
  <c r="Q46" i="5"/>
  <c r="R47" i="5"/>
  <c r="N26" i="5"/>
  <c r="I26" i="5"/>
  <c r="N29" i="5"/>
  <c r="I29" i="5"/>
  <c r="N40" i="5"/>
  <c r="I40" i="5"/>
  <c r="I44" i="5"/>
  <c r="N44" i="5"/>
  <c r="N61" i="5"/>
  <c r="I61" i="5"/>
  <c r="I16" i="5"/>
  <c r="N16" i="5"/>
  <c r="N13" i="5"/>
  <c r="I13" i="5"/>
  <c r="I9" i="5"/>
  <c r="N9" i="5"/>
  <c r="I28" i="5"/>
  <c r="N28" i="5"/>
  <c r="N33" i="5"/>
  <c r="I33" i="5"/>
  <c r="I39" i="5"/>
  <c r="N39" i="5"/>
  <c r="N48" i="5"/>
  <c r="I48" i="5"/>
  <c r="I54" i="5"/>
  <c r="N54" i="5"/>
  <c r="N69" i="5"/>
  <c r="I69" i="5"/>
  <c r="N14" i="5"/>
  <c r="I14" i="5"/>
  <c r="N10" i="5"/>
  <c r="I10" i="5"/>
  <c r="AH80" i="56"/>
  <c r="I41" i="5"/>
  <c r="N41" i="5"/>
  <c r="I59" i="5"/>
  <c r="N59" i="5"/>
  <c r="N64" i="5"/>
  <c r="I64" i="5"/>
  <c r="I15" i="9"/>
  <c r="I18" i="9"/>
  <c r="I16" i="9"/>
  <c r="I17" i="9"/>
  <c r="H42" i="70"/>
  <c r="H43" i="70"/>
  <c r="BW11" i="17"/>
  <c r="F19" i="3"/>
  <c r="F35" i="3"/>
  <c r="I12" i="3"/>
  <c r="G27" i="3"/>
  <c r="I39" i="3"/>
  <c r="K43" i="3"/>
  <c r="C81" i="4"/>
  <c r="J23" i="3"/>
  <c r="F39" i="3"/>
  <c r="H12" i="3"/>
  <c r="H31" i="3"/>
  <c r="G8" i="3"/>
  <c r="C27" i="3"/>
  <c r="K35" i="3"/>
  <c r="F23" i="3"/>
  <c r="J39" i="3"/>
  <c r="I8" i="3"/>
  <c r="E19" i="3"/>
  <c r="K23" i="3"/>
  <c r="G31" i="3"/>
  <c r="C39" i="3"/>
  <c r="E43" i="3"/>
  <c r="C75" i="4"/>
  <c r="J43" i="3"/>
  <c r="C80" i="4"/>
  <c r="N15" i="35"/>
  <c r="N17" i="35"/>
  <c r="H29" i="70"/>
  <c r="H33" i="70"/>
  <c r="H39" i="70"/>
  <c r="H32" i="70"/>
  <c r="H35" i="70"/>
  <c r="D117" i="71"/>
  <c r="G19" i="69"/>
  <c r="G20" i="69"/>
  <c r="V26" i="56"/>
  <c r="K16" i="56"/>
  <c r="K17" i="56"/>
  <c r="G56" i="69"/>
  <c r="G22" i="69"/>
  <c r="H14" i="69"/>
  <c r="AE22" i="56"/>
  <c r="I50" i="5"/>
  <c r="H23" i="3"/>
  <c r="H39" i="3"/>
  <c r="C19" i="3"/>
  <c r="E31" i="3"/>
  <c r="C43" i="3"/>
  <c r="C73" i="4"/>
  <c r="H8" i="3"/>
  <c r="H27" i="3"/>
  <c r="J19" i="3"/>
  <c r="J35" i="3"/>
  <c r="E12" i="3"/>
  <c r="K27" i="3"/>
  <c r="D8" i="3"/>
  <c r="D27" i="3"/>
  <c r="C12" i="3"/>
  <c r="I19" i="3"/>
  <c r="E27" i="3"/>
  <c r="K31" i="3"/>
  <c r="G39" i="3"/>
  <c r="D53" i="71"/>
  <c r="J15" i="35"/>
  <c r="J17" i="35"/>
  <c r="D12" i="52"/>
  <c r="H27" i="70"/>
  <c r="H26" i="70"/>
  <c r="H48" i="70"/>
  <c r="H8" i="70"/>
  <c r="H17" i="70"/>
  <c r="AJ56" i="52"/>
  <c r="J8" i="3"/>
  <c r="J27" i="3"/>
  <c r="C8" i="3"/>
  <c r="K19" i="3"/>
  <c r="G35" i="3"/>
  <c r="F12" i="3"/>
  <c r="J31" i="3"/>
  <c r="D43" i="3"/>
  <c r="C74" i="4"/>
  <c r="D23" i="3"/>
  <c r="D39" i="3"/>
  <c r="G19" i="3"/>
  <c r="I31" i="3"/>
  <c r="J12" i="3"/>
  <c r="F31" i="3"/>
  <c r="H43" i="3"/>
  <c r="C78" i="4"/>
  <c r="G12" i="3"/>
  <c r="C23" i="3"/>
  <c r="I27" i="3"/>
  <c r="E35" i="3"/>
  <c r="K39" i="3"/>
  <c r="H50" i="70"/>
  <c r="H6" i="70"/>
  <c r="H31" i="70"/>
  <c r="G7" i="70"/>
  <c r="L43" i="70"/>
  <c r="L42" i="70"/>
  <c r="B1028" i="53"/>
  <c r="AD8" i="9"/>
  <c r="AG4" i="9"/>
  <c r="AG12" i="9"/>
  <c r="AB12" i="9"/>
  <c r="AE4" i="9"/>
  <c r="AE20" i="9"/>
  <c r="W16" i="9"/>
  <c r="X8" i="9"/>
  <c r="AF3" i="11"/>
  <c r="AB3" i="11"/>
  <c r="AE3" i="11"/>
  <c r="AD29" i="11"/>
  <c r="AG16" i="9"/>
  <c r="Y12" i="9"/>
  <c r="AF16" i="9"/>
  <c r="X16" i="9"/>
  <c r="AB4" i="9"/>
  <c r="AA4" i="9"/>
  <c r="Y16" i="9"/>
  <c r="AK8" i="9"/>
  <c r="AE12" i="9"/>
  <c r="V12" i="9"/>
  <c r="AJ6" i="9"/>
  <c r="AG6" i="9"/>
  <c r="AI6" i="9"/>
  <c r="AH6" i="9"/>
  <c r="V6" i="11"/>
  <c r="AA6" i="9"/>
  <c r="V6" i="9"/>
  <c r="V26" i="9"/>
  <c r="V60" i="11"/>
  <c r="W60" i="9"/>
  <c r="X60" i="9"/>
  <c r="Y60" i="9"/>
  <c r="V60" i="9"/>
  <c r="AE60" i="9"/>
  <c r="AF60" i="9"/>
  <c r="AG60" i="9"/>
  <c r="AK60" i="9"/>
  <c r="AJ60" i="9"/>
  <c r="W6" i="9"/>
  <c r="AD60" i="9"/>
  <c r="AE6" i="9"/>
  <c r="AC6" i="9"/>
  <c r="AE39" i="11"/>
  <c r="B1560" i="53"/>
  <c r="B1337" i="53"/>
  <c r="B1575" i="53"/>
  <c r="Y62" i="9"/>
  <c r="AJ62" i="9"/>
  <c r="AF62" i="9"/>
  <c r="AC62" i="9"/>
  <c r="AI63" i="9"/>
  <c r="W69" i="9"/>
  <c r="AI72" i="9"/>
  <c r="Y72" i="9"/>
  <c r="AB72" i="9"/>
  <c r="AG72" i="9"/>
  <c r="AH65" i="9"/>
  <c r="Z65" i="9"/>
  <c r="AJ65" i="9"/>
  <c r="X65" i="9"/>
  <c r="I3" i="31"/>
  <c r="L3" i="31"/>
  <c r="AA3" i="11"/>
  <c r="V62" i="9"/>
  <c r="B1590" i="53"/>
  <c r="B1799" i="53"/>
  <c r="AH63" i="9"/>
  <c r="AI69" i="9"/>
  <c r="W72" i="9"/>
  <c r="V72" i="9"/>
  <c r="AJ72" i="9"/>
  <c r="AK72" i="9"/>
  <c r="Y65" i="9"/>
  <c r="AA65" i="9"/>
  <c r="AC65" i="9"/>
  <c r="AE65" i="9"/>
  <c r="B2208" i="53"/>
  <c r="V4" i="11"/>
  <c r="AI4" i="9"/>
  <c r="AH4" i="9"/>
  <c r="Z4" i="9"/>
  <c r="AF4" i="9"/>
  <c r="W4" i="9"/>
  <c r="AJ4" i="9"/>
  <c r="AG8" i="9"/>
  <c r="Z12" i="9"/>
  <c r="V12" i="11"/>
  <c r="X12" i="9"/>
  <c r="AH12" i="9"/>
  <c r="AA12" i="9"/>
  <c r="AF12" i="9"/>
  <c r="AD12" i="9"/>
  <c r="W12" i="9"/>
  <c r="AA16" i="9"/>
  <c r="AK16" i="9"/>
  <c r="AD16" i="9"/>
  <c r="AC16" i="9"/>
  <c r="X20" i="9"/>
  <c r="Z20" i="9"/>
  <c r="AI20" i="9"/>
  <c r="AJ20" i="9"/>
  <c r="V20" i="9"/>
  <c r="Z39" i="11"/>
  <c r="AB39" i="11"/>
  <c r="AG39" i="11"/>
  <c r="AJ39" i="11"/>
  <c r="I40" i="31"/>
  <c r="K40" i="31" s="1"/>
  <c r="L40" i="31"/>
  <c r="AC51" i="9"/>
  <c r="W62" i="9"/>
  <c r="AB62" i="9"/>
  <c r="B1844" i="53"/>
  <c r="AD62" i="9"/>
  <c r="Z62" i="9"/>
  <c r="AD63" i="9"/>
  <c r="AC69" i="9"/>
  <c r="AF69" i="9"/>
  <c r="Z72" i="9"/>
  <c r="AA72" i="9"/>
  <c r="X72" i="9"/>
  <c r="AD72" i="9"/>
  <c r="AG65" i="9"/>
  <c r="AI65" i="9"/>
  <c r="AK65" i="9"/>
  <c r="AF65" i="9"/>
  <c r="B2323" i="53"/>
  <c r="G17" i="70"/>
  <c r="B676" i="53" s="1"/>
  <c r="B763" i="53"/>
  <c r="B2077" i="53"/>
  <c r="I73" i="31"/>
  <c r="L73" i="31" s="1"/>
  <c r="AB71" i="11"/>
  <c r="X9" i="9"/>
  <c r="X5" i="9"/>
  <c r="W9" i="9"/>
  <c r="W5" i="9"/>
  <c r="X27" i="9"/>
  <c r="W31" i="9"/>
  <c r="W27" i="9"/>
  <c r="V5" i="9"/>
  <c r="AI31" i="9"/>
  <c r="Z9" i="9"/>
  <c r="Y34" i="9"/>
  <c r="AE34" i="9"/>
  <c r="AC34" i="9"/>
  <c r="AC41" i="11"/>
  <c r="B1516" i="53"/>
  <c r="AI5" i="9"/>
  <c r="Y31" i="9"/>
  <c r="AB34" i="9"/>
  <c r="AB31" i="9"/>
  <c r="AD9" i="9"/>
  <c r="W34" i="9"/>
  <c r="Y13" i="9"/>
  <c r="AF41" i="11"/>
  <c r="AJ31" i="9"/>
  <c r="AJ27" i="9"/>
  <c r="V9" i="9"/>
  <c r="AG34" i="9"/>
  <c r="AI52" i="9"/>
  <c r="B1203" i="53"/>
  <c r="BW31" i="17"/>
  <c r="H61" i="69"/>
  <c r="H62" i="69"/>
  <c r="I60" i="69"/>
  <c r="I61" i="69"/>
  <c r="I62" i="69"/>
  <c r="D123" i="71"/>
  <c r="D119" i="71"/>
  <c r="D112" i="71"/>
  <c r="I31" i="69"/>
  <c r="I32" i="69"/>
  <c r="I33" i="69"/>
  <c r="I64" i="69"/>
  <c r="I65" i="69"/>
  <c r="I66" i="69"/>
  <c r="D108" i="71"/>
  <c r="D103" i="71"/>
  <c r="D102" i="71"/>
  <c r="G36" i="69"/>
  <c r="G37" i="69"/>
  <c r="L13" i="56"/>
  <c r="D115" i="71"/>
  <c r="D118" i="71"/>
  <c r="D116" i="71"/>
  <c r="D101" i="71"/>
  <c r="D109" i="71"/>
  <c r="D104" i="71"/>
  <c r="G61" i="69"/>
  <c r="G62" i="69"/>
  <c r="D114" i="71"/>
  <c r="D122" i="71"/>
  <c r="D107" i="71"/>
  <c r="D110" i="71"/>
  <c r="N23" i="5"/>
  <c r="I23" i="5"/>
  <c r="F97" i="6"/>
  <c r="G97" i="6" s="1"/>
  <c r="F101" i="6"/>
  <c r="G101" i="6" s="1"/>
  <c r="F98" i="6"/>
  <c r="G98" i="6" s="1"/>
  <c r="F99" i="6"/>
  <c r="G99" i="6" s="1"/>
  <c r="F100" i="6"/>
  <c r="G100" i="6" s="1"/>
  <c r="L12" i="70"/>
  <c r="L13" i="70"/>
  <c r="B216" i="53" s="1"/>
  <c r="B245" i="53"/>
  <c r="L11" i="70"/>
  <c r="B158" i="53" s="1"/>
  <c r="D3" i="9"/>
  <c r="D7" i="9"/>
  <c r="D5" i="9"/>
  <c r="H37" i="70"/>
  <c r="H36" i="70"/>
  <c r="H12" i="70"/>
  <c r="H13" i="70"/>
  <c r="H10" i="70"/>
  <c r="H11" i="70"/>
  <c r="B1859" i="53"/>
  <c r="L36" i="70"/>
  <c r="W36" i="70" s="1"/>
  <c r="B854" i="53"/>
  <c r="W39" i="70"/>
  <c r="B835" i="53" s="1"/>
  <c r="V39" i="70"/>
  <c r="B1467" i="53"/>
  <c r="B1437" i="53"/>
  <c r="B1825" i="53"/>
  <c r="I5" i="31"/>
  <c r="L5" i="31" s="1"/>
  <c r="AH5" i="11"/>
  <c r="AC5" i="11"/>
  <c r="AF5" i="11"/>
  <c r="Z29" i="11"/>
  <c r="C28" i="4"/>
  <c r="C24" i="3"/>
  <c r="J13" i="3"/>
  <c r="C17" i="4"/>
  <c r="D24" i="3"/>
  <c r="C29" i="4"/>
  <c r="J7" i="24"/>
  <c r="C59" i="4"/>
  <c r="G36" i="3"/>
  <c r="C8" i="4"/>
  <c r="J9" i="3"/>
  <c r="C25" i="4"/>
  <c r="I20" i="3"/>
  <c r="C45" i="4"/>
  <c r="K28" i="3"/>
  <c r="H28" i="3"/>
  <c r="C42" i="4"/>
  <c r="C19" i="4"/>
  <c r="C20" i="3"/>
  <c r="C36" i="4"/>
  <c r="K24" i="3"/>
  <c r="F24" i="3"/>
  <c r="C31" i="4"/>
  <c r="H63" i="1"/>
  <c r="H32" i="3"/>
  <c r="C51" i="4"/>
  <c r="C58" i="4"/>
  <c r="F36" i="3"/>
  <c r="Q2" i="5"/>
  <c r="C72" i="4"/>
  <c r="K40" i="3"/>
  <c r="C14" i="4"/>
  <c r="G13" i="3"/>
  <c r="C52" i="4"/>
  <c r="I32" i="3"/>
  <c r="C27" i="4"/>
  <c r="K20" i="3"/>
  <c r="G40" i="3"/>
  <c r="C68" i="4"/>
  <c r="C13" i="3"/>
  <c r="C10" i="4"/>
  <c r="E13" i="3"/>
  <c r="C12" i="4"/>
  <c r="H9" i="3"/>
  <c r="C6" i="4"/>
  <c r="C69" i="4"/>
  <c r="H40" i="3"/>
  <c r="Q47" i="5"/>
  <c r="I14" i="69"/>
  <c r="I15" i="69"/>
  <c r="I16" i="69"/>
  <c r="H15" i="69"/>
  <c r="H16" i="69"/>
  <c r="H56" i="69"/>
  <c r="G57" i="69"/>
  <c r="C21" i="4"/>
  <c r="H56" i="1"/>
  <c r="E20" i="3"/>
  <c r="C63" i="4"/>
  <c r="K36" i="3"/>
  <c r="C15" i="4"/>
  <c r="H13" i="3"/>
  <c r="C70" i="4"/>
  <c r="I40" i="3"/>
  <c r="C22" i="4"/>
  <c r="F20" i="3"/>
  <c r="Q64" i="5"/>
  <c r="E36" i="3"/>
  <c r="C57" i="4"/>
  <c r="C23" i="4"/>
  <c r="H55" i="1"/>
  <c r="G20" i="3"/>
  <c r="J32" i="3"/>
  <c r="C53" i="4"/>
  <c r="C9" i="3"/>
  <c r="C1" i="4"/>
  <c r="K32" i="3"/>
  <c r="C54" i="4"/>
  <c r="C38" i="4"/>
  <c r="D28" i="3"/>
  <c r="J36" i="3"/>
  <c r="C62" i="4"/>
  <c r="H94" i="1"/>
  <c r="H83" i="1"/>
  <c r="J47" i="24"/>
  <c r="H92" i="1"/>
  <c r="H84" i="1"/>
  <c r="H97" i="1"/>
  <c r="H89" i="1"/>
  <c r="H80" i="1"/>
  <c r="J34" i="24"/>
  <c r="J41" i="24"/>
  <c r="J44" i="24"/>
  <c r="J43" i="24"/>
  <c r="H79" i="1"/>
  <c r="J49" i="24"/>
  <c r="J36" i="24"/>
  <c r="H91" i="1"/>
  <c r="J48" i="24"/>
  <c r="H98" i="1"/>
  <c r="H90" i="1"/>
  <c r="H81" i="1"/>
  <c r="H95" i="1"/>
  <c r="H87" i="1"/>
  <c r="J46" i="24"/>
  <c r="J31" i="24"/>
  <c r="J37" i="24"/>
  <c r="J40" i="24"/>
  <c r="J39" i="24"/>
  <c r="J42" i="24"/>
  <c r="H99" i="1"/>
  <c r="J45" i="24"/>
  <c r="H96" i="1"/>
  <c r="H88" i="1"/>
  <c r="H93" i="1"/>
  <c r="H85" i="1"/>
  <c r="J30" i="24"/>
  <c r="J35" i="24"/>
  <c r="H86" i="1"/>
  <c r="J38" i="24"/>
  <c r="J32" i="24"/>
  <c r="C33" i="4"/>
  <c r="H24" i="3"/>
  <c r="G23" i="69"/>
  <c r="G24" i="69"/>
  <c r="H22" i="69"/>
  <c r="L17" i="56"/>
  <c r="AE17" i="56"/>
  <c r="C64" i="4"/>
  <c r="C40" i="3"/>
  <c r="I9" i="3"/>
  <c r="C7" i="4"/>
  <c r="H7" i="1"/>
  <c r="C37" i="4"/>
  <c r="C28" i="3"/>
  <c r="C67" i="4"/>
  <c r="F40" i="3"/>
  <c r="G28" i="3"/>
  <c r="C41" i="4"/>
  <c r="B2297" i="53"/>
  <c r="B2327" i="53"/>
  <c r="B2063" i="53"/>
  <c r="I28" i="3"/>
  <c r="C43" i="4"/>
  <c r="F32" i="3"/>
  <c r="C49" i="4"/>
  <c r="D40" i="3"/>
  <c r="C65" i="4"/>
  <c r="F13" i="3"/>
  <c r="C13" i="4"/>
  <c r="J28" i="3"/>
  <c r="C44" i="4"/>
  <c r="E28" i="3"/>
  <c r="C39" i="4"/>
  <c r="D9" i="3"/>
  <c r="C2" i="4"/>
  <c r="C26" i="4"/>
  <c r="J20" i="3"/>
  <c r="E32" i="3"/>
  <c r="C48" i="4"/>
  <c r="L16" i="56"/>
  <c r="AE16" i="56"/>
  <c r="V16" i="56"/>
  <c r="G32" i="3"/>
  <c r="C50" i="4"/>
  <c r="C71" i="4"/>
  <c r="J40" i="3"/>
  <c r="C5" i="4"/>
  <c r="G9" i="3"/>
  <c r="C35" i="4"/>
  <c r="J24" i="3"/>
  <c r="I13" i="3"/>
  <c r="C16" i="4"/>
  <c r="B2070" i="53"/>
  <c r="B2334" i="53"/>
  <c r="B2300" i="53"/>
  <c r="B2333" i="53"/>
  <c r="AD60" i="11"/>
  <c r="AI6" i="11"/>
  <c r="AD6" i="11"/>
  <c r="J40" i="31"/>
  <c r="AB12" i="11"/>
  <c r="AD4" i="11"/>
  <c r="W4" i="11"/>
  <c r="B2337" i="53"/>
  <c r="B2069" i="53"/>
  <c r="B2304" i="53"/>
  <c r="B2079" i="53"/>
  <c r="B2064" i="53"/>
  <c r="B2066" i="53"/>
  <c r="B2330" i="53"/>
  <c r="B2303" i="53"/>
  <c r="B2343" i="53"/>
  <c r="B2313" i="53"/>
  <c r="B2341" i="53"/>
  <c r="B2311" i="53"/>
  <c r="B2314" i="53"/>
  <c r="B2080" i="53"/>
  <c r="B2344" i="53"/>
  <c r="D127" i="71"/>
  <c r="D133" i="71"/>
  <c r="D125" i="71"/>
  <c r="D129" i="71"/>
  <c r="D132" i="71"/>
  <c r="D134" i="71"/>
  <c r="D130" i="71"/>
  <c r="D126" i="71"/>
  <c r="D135" i="71"/>
  <c r="D142" i="71"/>
  <c r="D128" i="71"/>
  <c r="D124" i="71"/>
  <c r="D131" i="71"/>
  <c r="B1918" i="53"/>
  <c r="H23" i="69"/>
  <c r="H24" i="69"/>
  <c r="I22" i="69"/>
  <c r="I23" i="69"/>
  <c r="I24" i="69"/>
  <c r="K33" i="56"/>
  <c r="G58" i="69"/>
  <c r="H40" i="1"/>
  <c r="H38" i="1"/>
  <c r="H39" i="1"/>
  <c r="H37" i="1"/>
  <c r="H53" i="1"/>
  <c r="H52" i="1"/>
  <c r="H44" i="1"/>
  <c r="H51" i="1"/>
  <c r="H43" i="1"/>
  <c r="H50" i="1"/>
  <c r="H42" i="1"/>
  <c r="H49" i="1"/>
  <c r="H58" i="1"/>
  <c r="H47" i="1"/>
  <c r="H45" i="1"/>
  <c r="H48" i="1"/>
  <c r="H46" i="1"/>
  <c r="H9" i="1"/>
  <c r="H28" i="1"/>
  <c r="BM1" i="6"/>
  <c r="I56" i="69"/>
  <c r="I57" i="69"/>
  <c r="I58" i="69"/>
  <c r="H57" i="69"/>
  <c r="H58" i="69"/>
  <c r="B2073" i="53"/>
  <c r="B2307" i="53"/>
  <c r="J26" i="24"/>
  <c r="H61" i="1"/>
  <c r="J8" i="24"/>
  <c r="H15" i="1"/>
  <c r="H30" i="1"/>
  <c r="H35" i="1"/>
  <c r="H17" i="1"/>
  <c r="J6" i="24"/>
  <c r="H41" i="1"/>
  <c r="H10" i="1"/>
  <c r="H11" i="1"/>
  <c r="H26" i="1"/>
  <c r="H25" i="1"/>
  <c r="H24" i="1"/>
  <c r="H14" i="1"/>
  <c r="H12" i="1"/>
  <c r="H18" i="1"/>
  <c r="H57" i="1"/>
  <c r="H13" i="1"/>
  <c r="B2067" i="53"/>
  <c r="B2065" i="53"/>
  <c r="B2331" i="53"/>
  <c r="B2338" i="53"/>
  <c r="B2298" i="53"/>
  <c r="B2328" i="53"/>
  <c r="B2308" i="53"/>
  <c r="B2068" i="53"/>
  <c r="B2301" i="53"/>
  <c r="B2302" i="53"/>
  <c r="B2332" i="53"/>
  <c r="B2074" i="53"/>
  <c r="D147" i="71"/>
  <c r="D152" i="71"/>
  <c r="D139" i="71"/>
  <c r="D136" i="71"/>
  <c r="D137" i="71"/>
  <c r="D146" i="71"/>
  <c r="D140" i="71"/>
  <c r="AE33" i="56"/>
  <c r="L33" i="56"/>
  <c r="V33" i="56"/>
  <c r="K81" i="56"/>
  <c r="K82" i="56"/>
  <c r="K83" i="56"/>
  <c r="B2071" i="53"/>
  <c r="B2329" i="53"/>
  <c r="B2299" i="53"/>
  <c r="B2335" i="53"/>
  <c r="B2305" i="53"/>
  <c r="B2130" i="53"/>
  <c r="D158" i="71"/>
  <c r="D150" i="71"/>
  <c r="D151" i="71"/>
  <c r="D149" i="71"/>
  <c r="D157" i="71"/>
  <c r="D159" i="71"/>
  <c r="D169" i="71"/>
  <c r="B2340" i="53"/>
  <c r="B2306" i="53"/>
  <c r="B2336" i="53"/>
  <c r="B2310" i="53"/>
  <c r="D170" i="71"/>
  <c r="D167" i="71"/>
  <c r="D160" i="71"/>
  <c r="D161" i="71"/>
  <c r="D166" i="71"/>
  <c r="D164" i="71"/>
  <c r="B2346" i="53"/>
  <c r="B2316" i="53"/>
  <c r="B2072" i="53"/>
  <c r="B2076" i="53"/>
  <c r="B2082" i="53"/>
  <c r="B1936" i="53"/>
  <c r="B1906" i="53"/>
  <c r="B1884" i="53"/>
  <c r="AD44" i="11"/>
  <c r="AK4" i="11"/>
  <c r="Z4" i="11"/>
  <c r="AG12" i="11"/>
  <c r="AJ4" i="11"/>
  <c r="X4" i="11"/>
  <c r="AF12" i="11"/>
  <c r="I4" i="31"/>
  <c r="AI12" i="11"/>
  <c r="B2357" i="53"/>
  <c r="AI44" i="11"/>
  <c r="Z42" i="9"/>
  <c r="AB53" i="9"/>
  <c r="AA56" i="9"/>
  <c r="X56" i="9"/>
  <c r="X38" i="9"/>
  <c r="AH56" i="9"/>
  <c r="AJ56" i="9"/>
  <c r="AK53" i="9"/>
  <c r="AK49" i="9"/>
  <c r="AJ49" i="9"/>
  <c r="X53" i="9"/>
  <c r="AI53" i="9"/>
  <c r="Y49" i="9"/>
  <c r="AI38" i="9"/>
  <c r="W38" i="9"/>
  <c r="AE49" i="9"/>
  <c r="AG49" i="9"/>
  <c r="AK38" i="9"/>
  <c r="AE27" i="9"/>
  <c r="AG27" i="9"/>
  <c r="B1366" i="53"/>
  <c r="W23" i="9"/>
  <c r="AI23" i="9"/>
  <c r="AC23" i="9"/>
  <c r="AK23" i="9"/>
  <c r="AD23" i="9"/>
  <c r="AE68" i="9"/>
  <c r="AK34" i="9"/>
  <c r="Z34" i="9"/>
  <c r="AK31" i="9"/>
  <c r="Z31" i="9"/>
  <c r="AK27" i="9"/>
  <c r="Z27" i="9"/>
  <c r="V23" i="11"/>
  <c r="I23" i="31" s="1"/>
  <c r="L23" i="31" s="1"/>
  <c r="V15" i="9"/>
  <c r="V15" i="11"/>
  <c r="AC15" i="9"/>
  <c r="Z11" i="9"/>
  <c r="V11" i="9"/>
  <c r="AF38" i="9"/>
  <c r="V53" i="9"/>
  <c r="AJ53" i="9"/>
  <c r="AA53" i="9"/>
  <c r="AH38" i="9"/>
  <c r="AB38" i="9"/>
  <c r="Z38" i="9"/>
  <c r="AF56" i="9"/>
  <c r="AK42" i="9"/>
  <c r="Y42" i="9"/>
  <c r="Y56" i="9"/>
  <c r="Z49" i="9"/>
  <c r="AF42" i="9"/>
  <c r="AC42" i="9"/>
  <c r="Z53" i="9"/>
  <c r="AG56" i="9"/>
  <c r="V38" i="9"/>
  <c r="AI49" i="9"/>
  <c r="AI19" i="9"/>
  <c r="AI27" i="9"/>
  <c r="AH23" i="9"/>
  <c r="AE72" i="9"/>
  <c r="AC72" i="9"/>
  <c r="V68" i="9"/>
  <c r="AF34" i="9"/>
  <c r="AD34" i="9"/>
  <c r="AF31" i="9"/>
  <c r="AD31" i="9"/>
  <c r="AF27" i="9"/>
  <c r="AD27" i="9"/>
  <c r="AK15" i="9"/>
  <c r="Z15" i="9"/>
  <c r="AE15" i="9"/>
  <c r="AC27" i="9"/>
  <c r="W15" i="9"/>
  <c r="AJ34" i="9"/>
  <c r="AD11" i="9"/>
  <c r="AI11" i="9"/>
  <c r="Y38" i="9"/>
  <c r="Y19" i="9"/>
  <c r="X42" i="9"/>
  <c r="AD53" i="9"/>
  <c r="AA49" i="9"/>
  <c r="AF49" i="9"/>
  <c r="AE56" i="9"/>
  <c r="AJ38" i="9"/>
  <c r="AD38" i="9"/>
  <c r="AH49" i="9"/>
  <c r="W49" i="9"/>
  <c r="AE53" i="9"/>
  <c r="AG42" i="9"/>
  <c r="AK56" i="9"/>
  <c r="W53" i="9"/>
  <c r="X49" i="9"/>
  <c r="AC53" i="9"/>
  <c r="AA8" i="9"/>
  <c r="AJ23" i="9"/>
  <c r="AE23" i="9"/>
  <c r="AG23" i="9"/>
  <c r="AB8" i="9"/>
  <c r="V63" i="9"/>
  <c r="X23" i="9"/>
  <c r="AA23" i="9"/>
  <c r="AI68" i="9"/>
  <c r="AA34" i="9"/>
  <c r="AH34" i="9"/>
  <c r="AA31" i="9"/>
  <c r="AH31" i="9"/>
  <c r="AA27" i="9"/>
  <c r="AH27" i="9"/>
  <c r="AF15" i="9"/>
  <c r="AD15" i="9"/>
  <c r="AE31" i="9"/>
  <c r="X15" i="9"/>
  <c r="AJ11" i="9"/>
  <c r="AI15" i="9"/>
  <c r="X34" i="9"/>
  <c r="AA11" i="9"/>
  <c r="W11" i="9"/>
  <c r="BW16" i="17"/>
  <c r="BW32" i="17"/>
  <c r="AH32" i="70" s="1"/>
  <c r="B1518" i="53" s="1"/>
  <c r="B1943" i="53"/>
  <c r="W8" i="70"/>
  <c r="B79" i="53" s="1"/>
  <c r="W9" i="70"/>
  <c r="B2030" i="53"/>
  <c r="B2234" i="53"/>
  <c r="AH60" i="11"/>
  <c r="W60" i="11"/>
  <c r="I61" i="31"/>
  <c r="J61" i="31" s="1"/>
  <c r="AC60" i="11"/>
  <c r="B2353" i="53"/>
  <c r="B1232" i="53"/>
  <c r="B1322" i="53"/>
  <c r="B1709" i="53"/>
  <c r="B1247" i="53"/>
  <c r="B956" i="53"/>
  <c r="B1396" i="53"/>
  <c r="B666" i="53"/>
  <c r="AK29" i="9"/>
  <c r="AC29" i="9"/>
  <c r="AI29" i="9"/>
  <c r="V44" i="9"/>
  <c r="AB60" i="9"/>
  <c r="Y4" i="9"/>
  <c r="W17" i="9"/>
  <c r="Y25" i="9"/>
  <c r="W7" i="9"/>
  <c r="X29" i="9"/>
  <c r="G34" i="70"/>
  <c r="B705" i="53" s="1"/>
  <c r="B1173" i="53"/>
  <c r="B40" i="53"/>
  <c r="AG29" i="11"/>
  <c r="Z61" i="9"/>
  <c r="AA61" i="9"/>
  <c r="B1739" i="53"/>
  <c r="AH71" i="9"/>
  <c r="AE67" i="9"/>
  <c r="AD67" i="9"/>
  <c r="AF67" i="9"/>
  <c r="AE44" i="9"/>
  <c r="AA44" i="9"/>
  <c r="AH71" i="11"/>
  <c r="AC71" i="11"/>
  <c r="AB44" i="9"/>
  <c r="AI60" i="9"/>
  <c r="AG51" i="9"/>
  <c r="AA21" i="9"/>
  <c r="AG25" i="9"/>
  <c r="B1991" i="53"/>
  <c r="B2179" i="53"/>
  <c r="B1456" i="53"/>
  <c r="B695" i="53"/>
  <c r="B55" i="53"/>
  <c r="B1188" i="53"/>
  <c r="AJ29" i="11"/>
  <c r="AH29" i="11"/>
  <c r="AC36" i="9"/>
  <c r="AF47" i="9"/>
  <c r="AK36" i="9"/>
  <c r="AK47" i="9"/>
  <c r="AD36" i="9"/>
  <c r="V57" i="9"/>
  <c r="AJ57" i="9"/>
  <c r="AD57" i="9"/>
  <c r="X47" i="9"/>
  <c r="AH47" i="9"/>
  <c r="V61" i="9"/>
  <c r="AH61" i="9"/>
  <c r="AI61" i="9"/>
  <c r="AD61" i="9"/>
  <c r="V71" i="9"/>
  <c r="AA71" i="9"/>
  <c r="Y71" i="9"/>
  <c r="AJ71" i="9"/>
  <c r="AG71" i="9"/>
  <c r="W71" i="9"/>
  <c r="Y67" i="9"/>
  <c r="AB67" i="9"/>
  <c r="X67" i="9"/>
  <c r="AI44" i="9"/>
  <c r="X44" i="9"/>
  <c r="AG44" i="9"/>
  <c r="AG71" i="11"/>
  <c r="AK21" i="9"/>
  <c r="AH7" i="9"/>
  <c r="W21" i="9"/>
  <c r="B1635" i="53"/>
  <c r="B1769" i="53"/>
  <c r="B825" i="53"/>
  <c r="B1679" i="53"/>
  <c r="B2264" i="53"/>
  <c r="B1754" i="53"/>
  <c r="B811" i="53"/>
  <c r="BW10" i="17"/>
  <c r="BW9" i="17"/>
  <c r="BW37" i="17"/>
  <c r="M70" i="56"/>
  <c r="BW26" i="17"/>
  <c r="AB10" i="70"/>
  <c r="B143" i="53" s="1"/>
  <c r="W21" i="70"/>
  <c r="B313" i="53" s="1"/>
  <c r="V35" i="70"/>
  <c r="B154" i="53"/>
  <c r="W43" i="70"/>
  <c r="B2367" i="53" s="1"/>
  <c r="B1288" i="53"/>
  <c r="W41" i="11"/>
  <c r="AD41" i="11"/>
  <c r="I42" i="31"/>
  <c r="AJ41" i="11"/>
  <c r="Z41" i="11"/>
  <c r="AK41" i="11"/>
  <c r="AE41" i="11"/>
  <c r="AB41" i="11"/>
  <c r="X41" i="11"/>
  <c r="Y41" i="11"/>
  <c r="AA41" i="11"/>
  <c r="AG41" i="11"/>
  <c r="AH41" i="11"/>
  <c r="AI41" i="11"/>
  <c r="B11" i="53"/>
  <c r="AJ44" i="11"/>
  <c r="Z44" i="11"/>
  <c r="X44" i="11"/>
  <c r="AG44" i="11"/>
  <c r="H44" i="70"/>
  <c r="G25" i="70"/>
  <c r="B415" i="53" s="1"/>
  <c r="AK44" i="11"/>
  <c r="AE44" i="11"/>
  <c r="AB45" i="11"/>
  <c r="Y45" i="11"/>
  <c r="I46" i="31"/>
  <c r="J46" i="31" s="1"/>
  <c r="L46" i="31"/>
  <c r="AK45" i="11"/>
  <c r="AG45" i="11"/>
  <c r="AH45" i="11"/>
  <c r="W45" i="11"/>
  <c r="Z45" i="11"/>
  <c r="AC45" i="11"/>
  <c r="AD45" i="11"/>
  <c r="AJ45" i="11"/>
  <c r="AF45" i="11"/>
  <c r="AI45" i="11"/>
  <c r="AE45" i="11"/>
  <c r="H36" i="69"/>
  <c r="H37" i="69"/>
  <c r="I35" i="69"/>
  <c r="I36" i="69"/>
  <c r="I37" i="69"/>
  <c r="D168" i="71"/>
  <c r="D163" i="71"/>
  <c r="D162" i="71"/>
  <c r="D154" i="71"/>
  <c r="D156" i="71"/>
  <c r="D138" i="71"/>
  <c r="D141" i="71"/>
  <c r="D145" i="71"/>
  <c r="D121" i="71"/>
  <c r="G32" i="69"/>
  <c r="G33" i="69"/>
  <c r="G72" i="69"/>
  <c r="Q40" i="5"/>
  <c r="R40" i="5"/>
  <c r="R38" i="5"/>
  <c r="C31" i="3"/>
  <c r="D35" i="3"/>
  <c r="F43" i="3"/>
  <c r="C76" i="4"/>
  <c r="H35" i="3"/>
  <c r="E39" i="3"/>
  <c r="D12" i="3"/>
  <c r="G23" i="3"/>
  <c r="H19" i="3"/>
  <c r="D19" i="3"/>
  <c r="I23" i="3"/>
  <c r="I43" i="3"/>
  <c r="C79" i="4"/>
  <c r="K12" i="3"/>
  <c r="C35" i="3"/>
  <c r="F27" i="3"/>
  <c r="G43" i="3"/>
  <c r="C77" i="4"/>
  <c r="K8" i="3"/>
  <c r="I35" i="3"/>
  <c r="E8" i="3"/>
  <c r="E23" i="3"/>
  <c r="F8" i="3"/>
  <c r="D31" i="3"/>
  <c r="N25" i="5"/>
  <c r="I25" i="5"/>
  <c r="N34" i="5"/>
  <c r="I34" i="5"/>
  <c r="D106" i="71"/>
  <c r="D105" i="71"/>
  <c r="W3" i="11"/>
  <c r="AD3" i="11"/>
  <c r="AJ3" i="11"/>
  <c r="Y3" i="11"/>
  <c r="AK3" i="11"/>
  <c r="AH3" i="11"/>
  <c r="N6" i="5"/>
  <c r="I6" i="5"/>
  <c r="I7" i="5"/>
  <c r="N7" i="5"/>
  <c r="N21" i="5"/>
  <c r="I21" i="5"/>
  <c r="I24" i="5"/>
  <c r="N24" i="5"/>
  <c r="I27" i="5"/>
  <c r="N27" i="5"/>
  <c r="N30" i="5"/>
  <c r="I30" i="5"/>
  <c r="I46" i="5"/>
  <c r="N46" i="5"/>
  <c r="N57" i="5"/>
  <c r="I57" i="5"/>
  <c r="I66" i="5"/>
  <c r="N66" i="5"/>
  <c r="N74" i="5"/>
  <c r="I74" i="5"/>
  <c r="D171" i="71"/>
  <c r="D165" i="71"/>
  <c r="D148" i="71"/>
  <c r="D155" i="71"/>
  <c r="D153" i="71"/>
  <c r="D144" i="71"/>
  <c r="D143" i="71"/>
  <c r="F40" i="69"/>
  <c r="F41" i="69"/>
  <c r="G39" i="69"/>
  <c r="L7" i="56"/>
  <c r="AE7" i="56"/>
  <c r="I5" i="5"/>
  <c r="N5" i="5"/>
  <c r="I8" i="5"/>
  <c r="N8" i="5"/>
  <c r="N36" i="5"/>
  <c r="I36" i="5"/>
  <c r="AC36" i="11"/>
  <c r="L9" i="56"/>
  <c r="G44" i="69"/>
  <c r="G45" i="69"/>
  <c r="L26" i="56"/>
  <c r="AE28" i="56"/>
  <c r="I68" i="69"/>
  <c r="I69" i="69"/>
  <c r="I70" i="69"/>
  <c r="H69" i="69"/>
  <c r="H70" i="69"/>
  <c r="H47" i="69"/>
  <c r="G48" i="69"/>
  <c r="G49" i="69"/>
  <c r="G76" i="69"/>
  <c r="E37" i="69"/>
  <c r="I31" i="5"/>
  <c r="N31" i="5"/>
  <c r="N35" i="5"/>
  <c r="I35" i="5"/>
  <c r="N62" i="5"/>
  <c r="I62" i="5"/>
  <c r="I70" i="5"/>
  <c r="N70" i="5"/>
  <c r="AC39" i="11"/>
  <c r="AK39" i="11"/>
  <c r="X39" i="11"/>
  <c r="G16" i="70"/>
  <c r="B908" i="53" s="1"/>
  <c r="G50" i="70"/>
  <c r="B2562" i="53" s="1"/>
  <c r="B65" i="53"/>
  <c r="E61" i="69"/>
  <c r="E62" i="69"/>
  <c r="AE55" i="56"/>
  <c r="AE18" i="56"/>
  <c r="L38" i="56"/>
  <c r="L31" i="70"/>
  <c r="W31" i="70" s="1"/>
  <c r="B1451" i="53" s="1"/>
  <c r="B680" i="53"/>
  <c r="H34" i="70"/>
  <c r="B1053" i="53"/>
  <c r="I52" i="5"/>
  <c r="L43" i="56"/>
  <c r="H16" i="70"/>
  <c r="B651" i="53"/>
  <c r="W44" i="70"/>
  <c r="B2606" i="53" s="1"/>
  <c r="D6" i="9"/>
  <c r="BW29" i="17"/>
  <c r="AH29" i="70" s="1"/>
  <c r="AE23" i="11"/>
  <c r="AF23" i="11"/>
  <c r="AB23" i="11"/>
  <c r="AK23" i="11"/>
  <c r="X23" i="11"/>
  <c r="AG23" i="11"/>
  <c r="W23" i="11"/>
  <c r="Y23" i="11"/>
  <c r="J4" i="31"/>
  <c r="L4" i="31"/>
  <c r="K4" i="31"/>
  <c r="AI15" i="11"/>
  <c r="AH15" i="11"/>
  <c r="Y15" i="11"/>
  <c r="W15" i="11"/>
  <c r="AD15" i="11"/>
  <c r="AE15" i="11"/>
  <c r="AB15" i="11"/>
  <c r="AK15" i="11"/>
  <c r="AA15" i="11"/>
  <c r="X15" i="11"/>
  <c r="AJ15" i="11"/>
  <c r="Z15" i="11"/>
  <c r="K46" i="31"/>
  <c r="C47" i="4"/>
  <c r="D32" i="3"/>
  <c r="I36" i="3"/>
  <c r="C61" i="4"/>
  <c r="C36" i="3"/>
  <c r="C55" i="4"/>
  <c r="D20" i="3"/>
  <c r="C20" i="4"/>
  <c r="H60" i="1"/>
  <c r="E40" i="3"/>
  <c r="C66" i="4"/>
  <c r="C46" i="4"/>
  <c r="C32" i="3"/>
  <c r="H72" i="69"/>
  <c r="G73" i="69"/>
  <c r="G74" i="69"/>
  <c r="H48" i="69"/>
  <c r="H49" i="69"/>
  <c r="I47" i="69"/>
  <c r="I48" i="69"/>
  <c r="I49" i="69"/>
  <c r="F9" i="3"/>
  <c r="C4" i="4"/>
  <c r="K9" i="3"/>
  <c r="C9" i="4"/>
  <c r="C18" i="4"/>
  <c r="K13" i="3"/>
  <c r="H20" i="3"/>
  <c r="C24" i="4"/>
  <c r="H36" i="3"/>
  <c r="C60" i="4"/>
  <c r="B1381" i="53"/>
  <c r="B1411" i="53"/>
  <c r="V50" i="70"/>
  <c r="H39" i="69"/>
  <c r="G40" i="69"/>
  <c r="G41" i="69"/>
  <c r="C30" i="4"/>
  <c r="E24" i="3"/>
  <c r="C32" i="4"/>
  <c r="H64" i="1"/>
  <c r="G24" i="3"/>
  <c r="Q52" i="5"/>
  <c r="H76" i="69"/>
  <c r="G77" i="69"/>
  <c r="G78" i="69"/>
  <c r="D179" i="71"/>
  <c r="D176" i="71"/>
  <c r="D173" i="71"/>
  <c r="D182" i="71"/>
  <c r="D183" i="71"/>
  <c r="D175" i="71"/>
  <c r="D172" i="71"/>
  <c r="D178" i="71"/>
  <c r="D181" i="71"/>
  <c r="D177" i="71"/>
  <c r="D180" i="71"/>
  <c r="D174" i="71"/>
  <c r="E9" i="3"/>
  <c r="C3" i="4"/>
  <c r="C40" i="4"/>
  <c r="F28" i="3"/>
  <c r="C34" i="4"/>
  <c r="I24" i="3"/>
  <c r="D13" i="3"/>
  <c r="C11" i="4"/>
  <c r="C56" i="4"/>
  <c r="D36" i="3"/>
  <c r="H73" i="69"/>
  <c r="H74" i="69"/>
  <c r="I72" i="69"/>
  <c r="I73" i="69"/>
  <c r="I74" i="69"/>
  <c r="J21" i="24"/>
  <c r="J22" i="24"/>
  <c r="J15" i="24"/>
  <c r="H67" i="1"/>
  <c r="J14" i="24"/>
  <c r="J19" i="24"/>
  <c r="H68" i="1"/>
  <c r="H66" i="1"/>
  <c r="J11" i="24"/>
  <c r="I39" i="69"/>
  <c r="I40" i="69"/>
  <c r="I41" i="69"/>
  <c r="H40" i="69"/>
  <c r="H41" i="69"/>
  <c r="H77" i="1"/>
  <c r="H69" i="1"/>
  <c r="H78" i="1"/>
  <c r="H70" i="1"/>
  <c r="J18" i="24"/>
  <c r="J20" i="24"/>
  <c r="H75" i="1"/>
  <c r="H36" i="1"/>
  <c r="H76" i="1"/>
  <c r="H33" i="1"/>
  <c r="J29" i="24"/>
  <c r="J28" i="24"/>
  <c r="H71" i="1"/>
  <c r="H72" i="1"/>
  <c r="J24" i="24"/>
  <c r="H34" i="1"/>
  <c r="H31" i="1"/>
  <c r="J23" i="24"/>
  <c r="H32" i="1"/>
  <c r="J27" i="24"/>
  <c r="J16" i="24"/>
  <c r="H73" i="1"/>
  <c r="H74" i="1"/>
  <c r="J25" i="24"/>
  <c r="D187" i="71"/>
  <c r="D189" i="71"/>
  <c r="D192" i="71"/>
  <c r="D191" i="71"/>
  <c r="D194" i="71"/>
  <c r="D190" i="71"/>
  <c r="D185" i="71"/>
  <c r="D195" i="71"/>
  <c r="D193" i="71"/>
  <c r="D186" i="71"/>
  <c r="D188" i="71"/>
  <c r="D184" i="71"/>
  <c r="I76" i="69"/>
  <c r="I77" i="69"/>
  <c r="I78" i="69"/>
  <c r="H77" i="69"/>
  <c r="H78" i="69"/>
  <c r="H19" i="1"/>
  <c r="H21" i="1"/>
  <c r="H22" i="1"/>
  <c r="J9" i="24"/>
  <c r="J12" i="24"/>
  <c r="H20" i="1"/>
  <c r="H29" i="1"/>
  <c r="D198" i="71"/>
  <c r="D201" i="71"/>
  <c r="D197" i="71"/>
  <c r="D204" i="71"/>
  <c r="D202" i="71"/>
  <c r="D196" i="71"/>
  <c r="D199" i="71"/>
  <c r="D206" i="71"/>
  <c r="D200" i="71"/>
  <c r="G19" i="70"/>
  <c r="B241" i="53" s="1"/>
  <c r="D207" i="71"/>
  <c r="D203" i="71"/>
  <c r="D205" i="71"/>
  <c r="BW30" i="17"/>
  <c r="Q6" i="56"/>
  <c r="BW27" i="17"/>
  <c r="X51" i="9"/>
  <c r="AJ51" i="9"/>
  <c r="AA51" i="9"/>
  <c r="AF51" i="9"/>
  <c r="V51" i="11"/>
  <c r="AD51" i="9"/>
  <c r="W51" i="9"/>
  <c r="V51" i="9"/>
  <c r="AE51" i="9"/>
  <c r="AK51" i="9"/>
  <c r="AI51" i="9"/>
  <c r="AH51" i="9"/>
  <c r="V68" i="11"/>
  <c r="I70" i="31" s="1"/>
  <c r="AK68" i="9"/>
  <c r="AD68" i="9"/>
  <c r="AC68" i="9"/>
  <c r="AH68" i="9"/>
  <c r="AB68" i="9"/>
  <c r="W68" i="9"/>
  <c r="X68" i="9"/>
  <c r="AJ68" i="9"/>
  <c r="AF55" i="9"/>
  <c r="AC55" i="9"/>
  <c r="AI55" i="9"/>
  <c r="V55" i="9"/>
  <c r="AD55" i="9"/>
  <c r="W55" i="9"/>
  <c r="AK55" i="9"/>
  <c r="AJ55" i="9"/>
  <c r="Y55" i="9"/>
  <c r="AG55" i="9"/>
  <c r="AE55" i="9"/>
  <c r="Z55" i="9"/>
  <c r="V55" i="11"/>
  <c r="AH55" i="9"/>
  <c r="V64" i="11"/>
  <c r="AH64" i="9"/>
  <c r="W64" i="9"/>
  <c r="AD64" i="9"/>
  <c r="V64" i="9"/>
  <c r="AG64" i="9"/>
  <c r="AB64" i="9"/>
  <c r="Y64" i="9"/>
  <c r="AF64" i="9"/>
  <c r="AK64" i="9"/>
  <c r="X64" i="9"/>
  <c r="AE64" i="9"/>
  <c r="AJ64" i="9"/>
  <c r="R57" i="56"/>
  <c r="B260" i="53"/>
  <c r="AB51" i="9"/>
  <c r="AI64" i="9"/>
  <c r="B2622" i="53"/>
  <c r="W48" i="70"/>
  <c r="B2456" i="53" s="1"/>
  <c r="AF68" i="9"/>
  <c r="K3" i="31"/>
  <c r="J9" i="31"/>
  <c r="Y6" i="11"/>
  <c r="I6" i="31"/>
  <c r="AE6" i="11"/>
  <c r="Z6" i="11"/>
  <c r="X6" i="11"/>
  <c r="AH6" i="11"/>
  <c r="AC6" i="11"/>
  <c r="W6" i="11"/>
  <c r="AK6" i="11"/>
  <c r="AA6" i="11"/>
  <c r="Z51" i="9"/>
  <c r="AA64" i="9"/>
  <c r="B941" i="53"/>
  <c r="B2005" i="53"/>
  <c r="B1501" i="53"/>
  <c r="R63" i="56"/>
  <c r="AK17" i="11"/>
  <c r="AC64" i="9"/>
  <c r="AG6" i="11"/>
  <c r="AB55" i="9"/>
  <c r="R61" i="56"/>
  <c r="O18" i="24"/>
  <c r="V12" i="70"/>
  <c r="B2117" i="53"/>
  <c r="Y51" i="9"/>
  <c r="AD17" i="11"/>
  <c r="Z64" i="9"/>
  <c r="Z68" i="9"/>
  <c r="AG68" i="9"/>
  <c r="J3" i="31"/>
  <c r="X55" i="9"/>
  <c r="B970" i="53"/>
  <c r="B2238" i="53"/>
  <c r="B2034" i="53"/>
  <c r="B1947" i="53"/>
  <c r="B1888" i="53"/>
  <c r="W42" i="70"/>
  <c r="B1957" i="53" s="1"/>
  <c r="V42" i="70"/>
  <c r="B2268" i="53"/>
  <c r="AA55" i="9"/>
  <c r="AG31" i="9"/>
  <c r="AC31" i="9"/>
  <c r="V31" i="9"/>
  <c r="X31" i="9"/>
  <c r="AI34" i="9"/>
  <c r="V34" i="11"/>
  <c r="V38" i="11"/>
  <c r="AA38" i="9"/>
  <c r="AG38" i="9"/>
  <c r="AC38" i="9"/>
  <c r="AH46" i="9"/>
  <c r="X46" i="9"/>
  <c r="Y46" i="9"/>
  <c r="AI46" i="9"/>
  <c r="AF46" i="9"/>
  <c r="AA4" i="11"/>
  <c r="AB4" i="11"/>
  <c r="AC12" i="11"/>
  <c r="AH4" i="11"/>
  <c r="AG4" i="11"/>
  <c r="AH44" i="11"/>
  <c r="V31" i="11"/>
  <c r="AD31" i="11" s="1"/>
  <c r="V4" i="9"/>
  <c r="AD4" i="9"/>
  <c r="AC4" i="9"/>
  <c r="AK4" i="9"/>
  <c r="X4" i="9"/>
  <c r="AE7" i="9"/>
  <c r="AC7" i="9"/>
  <c r="AH10" i="9"/>
  <c r="V10" i="11"/>
  <c r="Y10" i="11" s="1"/>
  <c r="AI14" i="9"/>
  <c r="AK14" i="9"/>
  <c r="AB14" i="9"/>
  <c r="AJ14" i="9"/>
  <c r="Y14" i="9"/>
  <c r="AF14" i="9"/>
  <c r="AD14" i="9"/>
  <c r="AH14" i="9"/>
  <c r="W14" i="9"/>
  <c r="V14" i="11"/>
  <c r="AA14" i="11" s="1"/>
  <c r="AC14" i="9"/>
  <c r="Z14" i="9"/>
  <c r="AA14" i="9"/>
  <c r="AF17" i="9"/>
  <c r="X17" i="9"/>
  <c r="AJ17" i="9"/>
  <c r="Y17" i="9"/>
  <c r="AG17" i="9"/>
  <c r="AH17" i="9"/>
  <c r="V17" i="9"/>
  <c r="AB17" i="9"/>
  <c r="W20" i="9"/>
  <c r="AG20" i="9"/>
  <c r="AD20" i="9"/>
  <c r="AK20" i="9"/>
  <c r="AH20" i="9"/>
  <c r="AC20" i="9"/>
  <c r="V24" i="11"/>
  <c r="AI24" i="9"/>
  <c r="AG24" i="9"/>
  <c r="Y24" i="9"/>
  <c r="AE24" i="9"/>
  <c r="AK24" i="9"/>
  <c r="AF24" i="9"/>
  <c r="AH24" i="9"/>
  <c r="W28" i="9"/>
  <c r="AC28" i="9"/>
  <c r="AA28" i="9"/>
  <c r="AB28" i="9"/>
  <c r="B1962" i="53"/>
  <c r="B2283" i="53"/>
  <c r="B2253" i="53"/>
  <c r="AF22" i="11"/>
  <c r="V9" i="70"/>
  <c r="Y15" i="9"/>
  <c r="AJ15" i="9"/>
  <c r="AH5" i="9"/>
  <c r="Z39" i="9"/>
  <c r="W39" i="9"/>
  <c r="AG61" i="9"/>
  <c r="AC61" i="9"/>
  <c r="AH29" i="9"/>
  <c r="AE71" i="9"/>
  <c r="X71" i="9"/>
  <c r="AK71" i="9"/>
  <c r="AA15" i="9"/>
  <c r="AG5" i="9"/>
  <c r="AC68" i="11"/>
  <c r="AJ68" i="11"/>
  <c r="K73" i="31"/>
  <c r="X12" i="11"/>
  <c r="AB6" i="11"/>
  <c r="AJ6" i="11"/>
  <c r="AF6" i="11"/>
  <c r="I52" i="31"/>
  <c r="K52" i="31" s="1"/>
  <c r="AA51" i="11"/>
  <c r="Z51" i="11"/>
  <c r="W22" i="11"/>
  <c r="X14" i="11"/>
  <c r="W39" i="11"/>
  <c r="AF39" i="11"/>
  <c r="AA39" i="11"/>
  <c r="AI39" i="11"/>
  <c r="AA71" i="11"/>
  <c r="AF71" i="11"/>
  <c r="AJ71" i="11"/>
  <c r="W71" i="11"/>
  <c r="AK71" i="11"/>
  <c r="AD71" i="11"/>
  <c r="AE71" i="11"/>
  <c r="AK5" i="11"/>
  <c r="AB5" i="11"/>
  <c r="AI5" i="11"/>
  <c r="Z5" i="11"/>
  <c r="Y36" i="11"/>
  <c r="AE36" i="11"/>
  <c r="AD51" i="11"/>
  <c r="W44" i="11"/>
  <c r="I45" i="31"/>
  <c r="AA37" i="9"/>
  <c r="AH37" i="9"/>
  <c r="AH41" i="9"/>
  <c r="AE33" i="9"/>
  <c r="AF41" i="9"/>
  <c r="AB33" i="9"/>
  <c r="Y37" i="9"/>
  <c r="AC41" i="9"/>
  <c r="W41" i="9"/>
  <c r="AJ33" i="9"/>
  <c r="AB39" i="9"/>
  <c r="AD28" i="9"/>
  <c r="AJ28" i="9"/>
  <c r="V23" i="9"/>
  <c r="Y39" i="9"/>
  <c r="AA68" i="9"/>
  <c r="Y20" i="9"/>
  <c r="AA20" i="9"/>
  <c r="V37" i="9"/>
  <c r="X37" i="9"/>
  <c r="X33" i="9"/>
  <c r="AD33" i="9"/>
  <c r="AG53" i="9"/>
  <c r="AB37" i="9"/>
  <c r="AA39" i="9"/>
  <c r="AD39" i="9"/>
  <c r="AJ39" i="9"/>
  <c r="AE39" i="9"/>
  <c r="AK39" i="9"/>
  <c r="AG39" i="9"/>
  <c r="Y68" i="9"/>
  <c r="AH39" i="9"/>
  <c r="AE70" i="9"/>
  <c r="V25" i="11"/>
  <c r="V20" i="11"/>
  <c r="AB20" i="9"/>
  <c r="B2204" i="53"/>
  <c r="B937" i="53"/>
  <c r="V37" i="70"/>
  <c r="B821" i="53"/>
  <c r="B622" i="53"/>
  <c r="B1471" i="53"/>
  <c r="B1140" i="53"/>
  <c r="W50" i="70"/>
  <c r="B1082" i="53"/>
  <c r="B187" i="53"/>
  <c r="AB17" i="11"/>
  <c r="AA17" i="11"/>
  <c r="Z17" i="11"/>
  <c r="Y17" i="11"/>
  <c r="AH17" i="11"/>
  <c r="AI17" i="11"/>
  <c r="AE17" i="11"/>
  <c r="AG17" i="11"/>
  <c r="AC17" i="11"/>
  <c r="I17" i="31"/>
  <c r="AJ17" i="11"/>
  <c r="AF17" i="11"/>
  <c r="AF9" i="11"/>
  <c r="AB9" i="11"/>
  <c r="AK9" i="11"/>
  <c r="AE9" i="11"/>
  <c r="AA9" i="11"/>
  <c r="Y9" i="11"/>
  <c r="AJ9" i="11"/>
  <c r="AH9" i="11"/>
  <c r="AD9" i="11"/>
  <c r="X9" i="11"/>
  <c r="AI9" i="11"/>
  <c r="R21" i="56"/>
  <c r="M21" i="56"/>
  <c r="N21" i="56" s="1"/>
  <c r="R23" i="70"/>
  <c r="B367" i="53" s="1"/>
  <c r="AC9" i="11"/>
  <c r="B999" i="53"/>
  <c r="B2387" i="53"/>
  <c r="B2092" i="53"/>
  <c r="AB11" i="9"/>
  <c r="AF11" i="9"/>
  <c r="AE11" i="9"/>
  <c r="AC11" i="9"/>
  <c r="Y11" i="9"/>
  <c r="X11" i="9"/>
  <c r="AK11" i="9"/>
  <c r="AG11" i="9"/>
  <c r="V11" i="11"/>
  <c r="AH11" i="9"/>
  <c r="Z21" i="9"/>
  <c r="AB21" i="9"/>
  <c r="AE21" i="9"/>
  <c r="V21" i="11"/>
  <c r="AJ21" i="11" s="1"/>
  <c r="X21" i="9"/>
  <c r="Y21" i="9"/>
  <c r="AG21" i="9"/>
  <c r="V21" i="9"/>
  <c r="AJ21" i="9"/>
  <c r="AF21" i="9"/>
  <c r="AD21" i="9"/>
  <c r="I24" i="31"/>
  <c r="AG24" i="11"/>
  <c r="AJ24" i="11"/>
  <c r="AH24" i="11"/>
  <c r="AC24" i="11"/>
  <c r="W24" i="11"/>
  <c r="AD24" i="11"/>
  <c r="AB24" i="11"/>
  <c r="X24" i="11"/>
  <c r="AE24" i="11"/>
  <c r="AJ26" i="9"/>
  <c r="X26" i="9"/>
  <c r="AF26" i="9"/>
  <c r="AH26" i="9"/>
  <c r="AK26" i="9"/>
  <c r="AE26" i="9"/>
  <c r="AI26" i="9"/>
  <c r="Y26" i="9"/>
  <c r="V26" i="11"/>
  <c r="AD26" i="9"/>
  <c r="AG26" i="9"/>
  <c r="AA26" i="9"/>
  <c r="V42" i="11"/>
  <c r="AE42" i="9"/>
  <c r="AD42" i="9"/>
  <c r="W42" i="9"/>
  <c r="AI42" i="9"/>
  <c r="V42" i="9"/>
  <c r="AH42" i="9"/>
  <c r="AJ42" i="9"/>
  <c r="AA42" i="9"/>
  <c r="V54" i="11"/>
  <c r="X54" i="9"/>
  <c r="AC54" i="9"/>
  <c r="AJ54" i="9"/>
  <c r="AD54" i="9"/>
  <c r="AK54" i="9"/>
  <c r="AB54" i="9"/>
  <c r="AA54" i="9"/>
  <c r="Z54" i="9"/>
  <c r="AH54" i="9"/>
  <c r="AE54" i="9"/>
  <c r="AI54" i="9"/>
  <c r="V54" i="9"/>
  <c r="AG54" i="9"/>
  <c r="Y54" i="9"/>
  <c r="AF54" i="9"/>
  <c r="V63" i="11"/>
  <c r="AJ63" i="9"/>
  <c r="W63" i="9"/>
  <c r="AA63" i="9"/>
  <c r="AB63" i="9"/>
  <c r="AG63" i="9"/>
  <c r="AF63" i="9"/>
  <c r="X63" i="9"/>
  <c r="AC63" i="9"/>
  <c r="Y63" i="9"/>
  <c r="Z63" i="9"/>
  <c r="AE63" i="9"/>
  <c r="AK63" i="9"/>
  <c r="V67" i="11"/>
  <c r="AJ67" i="9"/>
  <c r="AK67" i="9"/>
  <c r="W67" i="9"/>
  <c r="AC67" i="9"/>
  <c r="AG67" i="9"/>
  <c r="V67" i="9"/>
  <c r="AH67" i="9"/>
  <c r="AI67" i="9"/>
  <c r="AA67" i="9"/>
  <c r="Z67" i="9"/>
  <c r="L9" i="31"/>
  <c r="Z9" i="11"/>
  <c r="AG9" i="11"/>
  <c r="K45" i="31"/>
  <c r="W9" i="11"/>
  <c r="W17" i="11"/>
  <c r="B1829" i="53"/>
  <c r="AI55" i="11"/>
  <c r="AF9" i="9"/>
  <c r="Y9" i="9"/>
  <c r="AK9" i="9"/>
  <c r="V32" i="11"/>
  <c r="AH32" i="9"/>
  <c r="AB32" i="9"/>
  <c r="AE32" i="9"/>
  <c r="AI32" i="9"/>
  <c r="AG32" i="9"/>
  <c r="AF32" i="9"/>
  <c r="X32" i="9"/>
  <c r="AJ32" i="9"/>
  <c r="V48" i="11"/>
  <c r="AD48" i="9"/>
  <c r="AE48" i="9"/>
  <c r="W48" i="9"/>
  <c r="AJ48" i="9"/>
  <c r="AB52" i="9"/>
  <c r="X52" i="9"/>
  <c r="AG52" i="9"/>
  <c r="AH52" i="9"/>
  <c r="AE52" i="9"/>
  <c r="V52" i="11"/>
  <c r="B796" i="53"/>
  <c r="J73" i="31"/>
  <c r="AH55" i="11"/>
  <c r="AE29" i="11"/>
  <c r="V30" i="11"/>
  <c r="AH30" i="9"/>
  <c r="Z30" i="9"/>
  <c r="AE30" i="9"/>
  <c r="Y30" i="9"/>
  <c r="AC30" i="9"/>
  <c r="X30" i="9"/>
  <c r="W30" i="9"/>
  <c r="AG30" i="9"/>
  <c r="AK30" i="9"/>
  <c r="AF30" i="9"/>
  <c r="AI30" i="9"/>
  <c r="AB30" i="9"/>
  <c r="V35" i="11"/>
  <c r="AG35" i="9"/>
  <c r="AI35" i="9"/>
  <c r="AD35" i="9"/>
  <c r="V46" i="11"/>
  <c r="AE46" i="9"/>
  <c r="V46" i="9"/>
  <c r="AJ46" i="9"/>
  <c r="W46" i="9"/>
  <c r="AG46" i="9"/>
  <c r="Z46" i="9"/>
  <c r="AK46" i="9"/>
  <c r="AD46" i="9"/>
  <c r="AA46" i="9"/>
  <c r="V58" i="11"/>
  <c r="AH58" i="9"/>
  <c r="AD58" i="9"/>
  <c r="AC58" i="9"/>
  <c r="AE58" i="9"/>
  <c r="AK58" i="9"/>
  <c r="Z58" i="9"/>
  <c r="V28" i="11"/>
  <c r="AK28" i="9"/>
  <c r="Y28" i="9"/>
  <c r="AH28" i="9"/>
  <c r="AE28" i="9"/>
  <c r="AF28" i="9"/>
  <c r="Z28" i="9"/>
  <c r="AG28" i="9"/>
  <c r="X28" i="9"/>
  <c r="V33" i="11"/>
  <c r="AK33" i="9"/>
  <c r="V33" i="9"/>
  <c r="AC33" i="9"/>
  <c r="AH33" i="9"/>
  <c r="Y33" i="9"/>
  <c r="AH44" i="9"/>
  <c r="Y44" i="9"/>
  <c r="V56" i="11"/>
  <c r="V56" i="9"/>
  <c r="W56" i="9"/>
  <c r="V70" i="11"/>
  <c r="AD70" i="9"/>
  <c r="AJ70" i="9"/>
  <c r="AC70" i="9"/>
  <c r="AA70" i="9"/>
  <c r="Z70" i="9"/>
  <c r="AB70" i="9"/>
  <c r="AF70" i="9"/>
  <c r="Y70" i="9"/>
  <c r="W70" i="9"/>
  <c r="AH70" i="9"/>
  <c r="X70" i="9"/>
  <c r="AI70" i="9"/>
  <c r="V70" i="9"/>
  <c r="V72" i="11"/>
  <c r="AF72" i="9"/>
  <c r="AB40" i="70"/>
  <c r="B1932" i="53" s="1"/>
  <c r="BW23" i="17"/>
  <c r="BW7" i="17"/>
  <c r="AH7" i="70" s="1"/>
  <c r="T20" i="24"/>
  <c r="W27" i="56"/>
  <c r="P27" i="56"/>
  <c r="Q49" i="56"/>
  <c r="S26" i="56"/>
  <c r="R11" i="56"/>
  <c r="P42" i="24"/>
  <c r="I91" i="1"/>
  <c r="N91" i="1" s="1"/>
  <c r="O30" i="56"/>
  <c r="P30" i="56"/>
  <c r="R30" i="56"/>
  <c r="M42" i="56"/>
  <c r="N42" i="56" s="1"/>
  <c r="S20" i="56"/>
  <c r="S63" i="56"/>
  <c r="N35" i="24"/>
  <c r="Q26" i="56"/>
  <c r="M26" i="56"/>
  <c r="N26" i="56" s="1"/>
  <c r="R26" i="56"/>
  <c r="P29" i="24"/>
  <c r="Q67" i="56"/>
  <c r="S11" i="56"/>
  <c r="O23" i="24"/>
  <c r="Q75" i="56"/>
  <c r="O17" i="70"/>
  <c r="B1682" i="53" s="1"/>
  <c r="S77" i="56"/>
  <c r="O63" i="56"/>
  <c r="N46" i="24"/>
  <c r="R16" i="70"/>
  <c r="I61" i="1"/>
  <c r="N61" i="1" s="1"/>
  <c r="P61" i="1" s="1"/>
  <c r="M41" i="24"/>
  <c r="O39" i="24"/>
  <c r="P21" i="56"/>
  <c r="Q62" i="56"/>
  <c r="S54" i="56"/>
  <c r="K25" i="24"/>
  <c r="L25" i="24" s="1"/>
  <c r="R7" i="56"/>
  <c r="O36" i="56"/>
  <c r="O45" i="56"/>
  <c r="R29" i="56"/>
  <c r="Q79" i="56"/>
  <c r="O49" i="70"/>
  <c r="O14" i="24"/>
  <c r="M6" i="56"/>
  <c r="N6" i="56" s="1"/>
  <c r="P36" i="24"/>
  <c r="S17" i="56"/>
  <c r="M68" i="56"/>
  <c r="N68" i="56" s="1"/>
  <c r="N47" i="24"/>
  <c r="M24" i="24"/>
  <c r="O24" i="70"/>
  <c r="B393" i="53" s="1"/>
  <c r="M44" i="24"/>
  <c r="P28" i="24"/>
  <c r="Q43" i="56"/>
  <c r="I68" i="1"/>
  <c r="N68" i="1" s="1"/>
  <c r="P68" i="56"/>
  <c r="P11" i="56"/>
  <c r="S6" i="56"/>
  <c r="O28" i="70"/>
  <c r="B509" i="53" s="1"/>
  <c r="K20" i="24"/>
  <c r="L20" i="24" s="1"/>
  <c r="Q27" i="56"/>
  <c r="S29" i="70"/>
  <c r="B542" i="53" s="1"/>
  <c r="S29" i="56"/>
  <c r="P29" i="56"/>
  <c r="M69" i="56"/>
  <c r="N69" i="56" s="1"/>
  <c r="K15" i="24"/>
  <c r="O75" i="56"/>
  <c r="K34" i="24"/>
  <c r="L34" i="24" s="1"/>
  <c r="P41" i="24"/>
  <c r="S16" i="56"/>
  <c r="P35" i="24"/>
  <c r="O32" i="24"/>
  <c r="R32" i="56"/>
  <c r="S65" i="56"/>
  <c r="Q19" i="56"/>
  <c r="Q35" i="56"/>
  <c r="M37" i="24"/>
  <c r="S76" i="56"/>
  <c r="K39" i="24"/>
  <c r="L39" i="24" s="1"/>
  <c r="O25" i="24"/>
  <c r="P74" i="56"/>
  <c r="O12" i="24"/>
  <c r="R60" i="56"/>
  <c r="R65" i="56"/>
  <c r="K22" i="24"/>
  <c r="L22" i="24" s="1"/>
  <c r="M64" i="56"/>
  <c r="N64" i="56" s="1"/>
  <c r="Q22" i="56"/>
  <c r="P47" i="24"/>
  <c r="R78" i="56"/>
  <c r="P57" i="56"/>
  <c r="AG39" i="70"/>
  <c r="O20" i="24"/>
  <c r="M27" i="56"/>
  <c r="N27" i="56" s="1"/>
  <c r="M66" i="56"/>
  <c r="N66" i="56" s="1"/>
  <c r="O73" i="56"/>
  <c r="O19" i="56"/>
  <c r="O25" i="56"/>
  <c r="M22" i="24"/>
  <c r="Q73" i="56"/>
  <c r="O34" i="56"/>
  <c r="P23" i="24"/>
  <c r="K28" i="24"/>
  <c r="L28" i="24" s="1"/>
  <c r="S11" i="70"/>
  <c r="B165" i="53" s="1"/>
  <c r="O62" i="56"/>
  <c r="O76" i="56"/>
  <c r="O14" i="56"/>
  <c r="K32" i="24"/>
  <c r="L32" i="24" s="1"/>
  <c r="Q25" i="56"/>
  <c r="O16" i="70"/>
  <c r="B2211" i="53" s="1"/>
  <c r="R24" i="70"/>
  <c r="B396" i="53" s="1"/>
  <c r="P6" i="56"/>
  <c r="P17" i="56"/>
  <c r="M63" i="56"/>
  <c r="N63" i="56" s="1"/>
  <c r="O19" i="24"/>
  <c r="I56" i="1"/>
  <c r="N56" i="1" s="1"/>
  <c r="P56" i="1" s="1"/>
  <c r="P54" i="56"/>
  <c r="M14" i="56"/>
  <c r="N14" i="56" s="1"/>
  <c r="S62" i="56"/>
  <c r="K7" i="24"/>
  <c r="L7" i="24" s="1"/>
  <c r="M29" i="56"/>
  <c r="N29" i="56" s="1"/>
  <c r="R23" i="56"/>
  <c r="O66" i="56"/>
  <c r="Q63" i="56"/>
  <c r="M34" i="24"/>
  <c r="M8" i="24"/>
  <c r="O28" i="24"/>
  <c r="O47" i="56"/>
  <c r="S13" i="56"/>
  <c r="K6" i="24"/>
  <c r="L6" i="24" s="1"/>
  <c r="K48" i="24"/>
  <c r="M20" i="24"/>
  <c r="O8" i="70"/>
  <c r="P20" i="24"/>
  <c r="AG11" i="70"/>
  <c r="B174" i="53" s="1"/>
  <c r="AG12" i="70"/>
  <c r="B203" i="53" s="1"/>
  <c r="AG6" i="70"/>
  <c r="AG7" i="70"/>
  <c r="AG48" i="70"/>
  <c r="AG43" i="70"/>
  <c r="B2108" i="53" s="1"/>
  <c r="AG21" i="70"/>
  <c r="B319" i="53" s="1"/>
  <c r="AG22" i="70"/>
  <c r="B348" i="53" s="1"/>
  <c r="AG25" i="70"/>
  <c r="B435" i="53" s="1"/>
  <c r="AG26" i="70"/>
  <c r="B464" i="53" s="1"/>
  <c r="AG29" i="70"/>
  <c r="AG33" i="70"/>
  <c r="AG36" i="70"/>
  <c r="AG8" i="70"/>
  <c r="AG9" i="70"/>
  <c r="AG13" i="70"/>
  <c r="B232" i="53" s="1"/>
  <c r="O11" i="70"/>
  <c r="B161" i="53" s="1"/>
  <c r="N18" i="24"/>
  <c r="R28" i="70"/>
  <c r="B1298" i="53" s="1"/>
  <c r="N12" i="24"/>
  <c r="O56" i="56"/>
  <c r="M23" i="56"/>
  <c r="M16" i="56"/>
  <c r="P78" i="56"/>
  <c r="I72" i="1"/>
  <c r="N72" i="1" s="1"/>
  <c r="O22" i="56"/>
  <c r="K41" i="24"/>
  <c r="K19" i="24"/>
  <c r="R16" i="56"/>
  <c r="P14" i="56"/>
  <c r="P24" i="24"/>
  <c r="S39" i="56"/>
  <c r="M43" i="56"/>
  <c r="N43" i="56" s="1"/>
  <c r="P22" i="24"/>
  <c r="S19" i="56"/>
  <c r="M19" i="56"/>
  <c r="I97" i="1"/>
  <c r="N97" i="1" s="1"/>
  <c r="M11" i="24"/>
  <c r="Q17" i="56"/>
  <c r="O74" i="56"/>
  <c r="P76" i="56"/>
  <c r="P69" i="56"/>
  <c r="AG49" i="70"/>
  <c r="B2166" i="53" s="1"/>
  <c r="AG41" i="70"/>
  <c r="B899" i="53" s="1"/>
  <c r="AG23" i="70"/>
  <c r="B377" i="53" s="1"/>
  <c r="AG27" i="70"/>
  <c r="B493" i="53" s="1"/>
  <c r="AG30" i="70"/>
  <c r="AG17" i="70"/>
  <c r="AG37" i="70"/>
  <c r="B812" i="53" s="1"/>
  <c r="AG10" i="70"/>
  <c r="AG19" i="70"/>
  <c r="AG50" i="70"/>
  <c r="B2582" i="53" s="1"/>
  <c r="AG16" i="70"/>
  <c r="B2224" i="53" s="1"/>
  <c r="AG20" i="70"/>
  <c r="B290" i="53" s="1"/>
  <c r="AG24" i="70"/>
  <c r="B406" i="53" s="1"/>
  <c r="AG28" i="70"/>
  <c r="B1278" i="53" s="1"/>
  <c r="AG31" i="70"/>
  <c r="B1457" i="53" s="1"/>
  <c r="AG34" i="70"/>
  <c r="B725" i="53" s="1"/>
  <c r="O50" i="56"/>
  <c r="R21" i="70"/>
  <c r="B309" i="53" s="1"/>
  <c r="Q70" i="56"/>
  <c r="O10" i="70"/>
  <c r="P43" i="56"/>
  <c r="O25" i="70"/>
  <c r="B422" i="53" s="1"/>
  <c r="O40" i="70"/>
  <c r="B857" i="53" s="1"/>
  <c r="P65" i="56"/>
  <c r="S71" i="56"/>
  <c r="O33" i="70"/>
  <c r="B1623" i="53" s="1"/>
  <c r="S14" i="56"/>
  <c r="I77" i="1"/>
  <c r="N77" i="1" s="1"/>
  <c r="O42" i="70"/>
  <c r="B2271" i="53" s="1"/>
  <c r="S9" i="56"/>
  <c r="N49" i="24"/>
  <c r="S32" i="56"/>
  <c r="O42" i="56"/>
  <c r="S75" i="56"/>
  <c r="N16" i="24"/>
  <c r="R77" i="56"/>
  <c r="Q11" i="56"/>
  <c r="M22" i="56"/>
  <c r="N22" i="56" s="1"/>
  <c r="S66" i="56"/>
  <c r="O46" i="24"/>
  <c r="P7" i="56"/>
  <c r="O49" i="56"/>
  <c r="O35" i="24"/>
  <c r="P46" i="24"/>
  <c r="R70" i="56"/>
  <c r="O67" i="56"/>
  <c r="M16" i="24"/>
  <c r="N14" i="24"/>
  <c r="R51" i="56"/>
  <c r="S57" i="56"/>
  <c r="S7" i="56"/>
  <c r="O35" i="56"/>
  <c r="I83" i="1"/>
  <c r="N83" i="1" s="1"/>
  <c r="O7" i="24"/>
  <c r="M27" i="24"/>
  <c r="K47" i="24"/>
  <c r="L47" i="24" s="1"/>
  <c r="N39" i="24"/>
  <c r="N23" i="24"/>
  <c r="AG42" i="70"/>
  <c r="B1963" i="53" s="1"/>
  <c r="AG32" i="70"/>
  <c r="B638" i="53" s="1"/>
  <c r="AG35" i="70"/>
  <c r="B1785" i="53" s="1"/>
  <c r="R56" i="56"/>
  <c r="M36" i="24"/>
  <c r="O20" i="56"/>
  <c r="R37" i="70"/>
  <c r="B1865" i="53" s="1"/>
  <c r="M25" i="24"/>
  <c r="O46" i="56"/>
  <c r="O10" i="56"/>
  <c r="M12" i="24"/>
  <c r="M49" i="24"/>
  <c r="R72" i="56"/>
  <c r="P32" i="24"/>
  <c r="S69" i="56"/>
  <c r="P11" i="24"/>
  <c r="S55" i="56"/>
  <c r="O43" i="70"/>
  <c r="B2360" i="53" s="1"/>
  <c r="O47" i="24"/>
  <c r="Q29" i="56"/>
  <c r="S64" i="56"/>
  <c r="O7" i="56"/>
  <c r="M78" i="56"/>
  <c r="N78" i="56" s="1"/>
  <c r="Q78" i="56"/>
  <c r="S78" i="56"/>
  <c r="O48" i="24"/>
  <c r="O59" i="56"/>
  <c r="Q47" i="56"/>
  <c r="P66" i="56"/>
  <c r="K11" i="24"/>
  <c r="L11" i="24" s="1"/>
  <c r="O27" i="56"/>
  <c r="P12" i="24"/>
  <c r="Q71" i="56"/>
  <c r="O79" i="56"/>
  <c r="M46" i="24"/>
  <c r="O65" i="56"/>
  <c r="M62" i="56"/>
  <c r="N62" i="56" s="1"/>
  <c r="M48" i="24"/>
  <c r="R66" i="56"/>
  <c r="M49" i="56"/>
  <c r="N49" i="56" s="1"/>
  <c r="M15" i="24"/>
  <c r="R54" i="56"/>
  <c r="O64" i="56"/>
  <c r="M54" i="56"/>
  <c r="N54" i="56" s="1"/>
  <c r="P47" i="56"/>
  <c r="P48" i="24"/>
  <c r="O69" i="56"/>
  <c r="M58" i="56"/>
  <c r="N58" i="56" s="1"/>
  <c r="P63" i="56"/>
  <c r="S79" i="56"/>
  <c r="N8" i="24"/>
  <c r="M18" i="56"/>
  <c r="O55" i="56"/>
  <c r="R44" i="56"/>
  <c r="S18" i="56"/>
  <c r="O43" i="56"/>
  <c r="Q32" i="56"/>
  <c r="R14" i="56"/>
  <c r="O77" i="56"/>
  <c r="M17" i="56"/>
  <c r="N17" i="56" s="1"/>
  <c r="N41" i="24"/>
  <c r="M35" i="56"/>
  <c r="N35" i="56" s="1"/>
  <c r="M8" i="56"/>
  <c r="O34" i="70"/>
  <c r="B1712" i="53" s="1"/>
  <c r="N7" i="24"/>
  <c r="I81" i="1"/>
  <c r="N81" i="1" s="1"/>
  <c r="M39" i="56"/>
  <c r="N39" i="56" s="1"/>
  <c r="P16" i="24"/>
  <c r="M67" i="56"/>
  <c r="N67" i="56" s="1"/>
  <c r="Q68" i="56"/>
  <c r="P49" i="56"/>
  <c r="I88" i="1"/>
  <c r="N88" i="1" s="1"/>
  <c r="P6" i="24"/>
  <c r="P39" i="56"/>
  <c r="R58" i="56"/>
  <c r="O23" i="56"/>
  <c r="O8" i="24"/>
  <c r="O44" i="56"/>
  <c r="R36" i="70"/>
  <c r="B773" i="53" s="1"/>
  <c r="N15" i="24"/>
  <c r="S43" i="56"/>
  <c r="P62" i="56"/>
  <c r="P9" i="24"/>
  <c r="R74" i="56"/>
  <c r="Q69" i="56"/>
  <c r="O54" i="56"/>
  <c r="K12" i="24"/>
  <c r="M73" i="56"/>
  <c r="N73" i="56" s="1"/>
  <c r="N22" i="24"/>
  <c r="O58" i="56"/>
  <c r="O16" i="56"/>
  <c r="R17" i="56"/>
  <c r="O27" i="70"/>
  <c r="B480" i="53" s="1"/>
  <c r="O20" i="70"/>
  <c r="B277" i="53" s="1"/>
  <c r="P15" i="24"/>
  <c r="S23" i="56"/>
  <c r="Q66" i="56"/>
  <c r="N48" i="24"/>
  <c r="P67" i="56"/>
  <c r="R49" i="56"/>
  <c r="S49" i="56"/>
  <c r="R42" i="56"/>
  <c r="P25" i="24"/>
  <c r="O30" i="70"/>
  <c r="B1414" i="53" s="1"/>
  <c r="O68" i="56"/>
  <c r="N28" i="24"/>
  <c r="M25" i="56"/>
  <c r="N25" i="56" s="1"/>
  <c r="Q42" i="56"/>
  <c r="S70" i="56"/>
  <c r="O32" i="56"/>
  <c r="P55" i="56"/>
  <c r="R35" i="56"/>
  <c r="K18" i="24"/>
  <c r="L18" i="24" s="1"/>
  <c r="R20" i="56"/>
  <c r="N11" i="24"/>
  <c r="O21" i="56"/>
  <c r="P16" i="56"/>
  <c r="P71" i="56"/>
  <c r="R34" i="56"/>
  <c r="S21" i="56"/>
  <c r="P43" i="24"/>
  <c r="R40" i="56"/>
  <c r="O37" i="56"/>
  <c r="K49" i="24"/>
  <c r="L49" i="24" s="1"/>
  <c r="P22" i="56"/>
  <c r="M77" i="56"/>
  <c r="M6" i="24"/>
  <c r="S74" i="56"/>
  <c r="P20" i="56"/>
  <c r="P75" i="56"/>
  <c r="S42" i="56"/>
  <c r="R8" i="56"/>
  <c r="P77" i="56"/>
  <c r="O28" i="56"/>
  <c r="S67" i="56"/>
  <c r="R10" i="56"/>
  <c r="N25" i="24"/>
  <c r="P70" i="56"/>
  <c r="M47" i="56"/>
  <c r="N47" i="56" s="1"/>
  <c r="O11" i="24"/>
  <c r="Q16" i="56"/>
  <c r="M79" i="56"/>
  <c r="N32" i="24"/>
  <c r="M32" i="56"/>
  <c r="R38" i="56"/>
  <c r="R8" i="70"/>
  <c r="I96" i="1"/>
  <c r="N96" i="1" s="1"/>
  <c r="S35" i="56"/>
  <c r="N19" i="24"/>
  <c r="Q54" i="56"/>
  <c r="O53" i="56"/>
  <c r="I63" i="1"/>
  <c r="N63" i="1" s="1"/>
  <c r="P63" i="1" s="1"/>
  <c r="R25" i="56"/>
  <c r="M18" i="24"/>
  <c r="I74" i="1"/>
  <c r="N74" i="1" s="1"/>
  <c r="Q64" i="56"/>
  <c r="R55" i="56"/>
  <c r="P39" i="24"/>
  <c r="P9" i="56"/>
  <c r="I98" i="1"/>
  <c r="N98" i="1" s="1"/>
  <c r="M75" i="56"/>
  <c r="N75" i="56" s="1"/>
  <c r="M21" i="24"/>
  <c r="I99" i="1"/>
  <c r="N99" i="1" s="1"/>
  <c r="R19" i="56"/>
  <c r="P7" i="24"/>
  <c r="M57" i="56"/>
  <c r="N57" i="56" s="1"/>
  <c r="R6" i="56"/>
  <c r="I64" i="1"/>
  <c r="N64" i="1" s="1"/>
  <c r="P64" i="1" s="1"/>
  <c r="Q13" i="56"/>
  <c r="R64" i="56"/>
  <c r="P14" i="24"/>
  <c r="M55" i="56"/>
  <c r="N55" i="56" s="1"/>
  <c r="P34" i="24"/>
  <c r="S68" i="56"/>
  <c r="M13" i="56"/>
  <c r="O52" i="56"/>
  <c r="M20" i="56"/>
  <c r="N20" i="56" s="1"/>
  <c r="K35" i="24"/>
  <c r="P35" i="56"/>
  <c r="R47" i="56"/>
  <c r="I71" i="1"/>
  <c r="N71" i="1" s="1"/>
  <c r="M39" i="24"/>
  <c r="P23" i="56"/>
  <c r="Q58" i="56"/>
  <c r="K46" i="24"/>
  <c r="O22" i="70"/>
  <c r="B335" i="53" s="1"/>
  <c r="I57" i="1"/>
  <c r="N57" i="1" s="1"/>
  <c r="P57" i="1" s="1"/>
  <c r="R34" i="70"/>
  <c r="B1745" i="53" s="1"/>
  <c r="P19" i="24"/>
  <c r="M29" i="24"/>
  <c r="R11" i="70"/>
  <c r="B164" i="53" s="1"/>
  <c r="R48" i="70"/>
  <c r="B1005" i="53" s="1"/>
  <c r="P44" i="24"/>
  <c r="P26" i="24"/>
  <c r="R9" i="70"/>
  <c r="O7" i="70"/>
  <c r="O19" i="70"/>
  <c r="B248" i="53" s="1"/>
  <c r="Q44" i="56"/>
  <c r="N36" i="24"/>
  <c r="BU21" i="17"/>
  <c r="M19" i="70"/>
  <c r="B246" i="53" s="1"/>
  <c r="S26" i="70"/>
  <c r="B455" i="53" s="1"/>
  <c r="O36" i="24"/>
  <c r="T36" i="24"/>
  <c r="S19" i="70"/>
  <c r="B252" i="53" s="1"/>
  <c r="S33" i="70"/>
  <c r="B1597" i="53" s="1"/>
  <c r="S51" i="56"/>
  <c r="S56" i="56"/>
  <c r="S23" i="70"/>
  <c r="B368" i="53" s="1"/>
  <c r="S40" i="56"/>
  <c r="AJ23" i="17"/>
  <c r="M40" i="56" s="1"/>
  <c r="N40" i="56" s="1"/>
  <c r="S48" i="70"/>
  <c r="B2128" i="53" s="1"/>
  <c r="S10" i="56"/>
  <c r="AJ48" i="17"/>
  <c r="M11" i="70"/>
  <c r="BW13" i="17"/>
  <c r="AH13" i="70" s="1"/>
  <c r="B233" i="53" s="1"/>
  <c r="BW24" i="17"/>
  <c r="AH24" i="70" s="1"/>
  <c r="B407" i="53" s="1"/>
  <c r="BW42" i="17"/>
  <c r="AH42" i="70" s="1"/>
  <c r="R33" i="56"/>
  <c r="BW8" i="17"/>
  <c r="AH8" i="70" s="1"/>
  <c r="BW34" i="17"/>
  <c r="AH34" i="70" s="1"/>
  <c r="BW22" i="17"/>
  <c r="AH22" i="70" s="1"/>
  <c r="B349" i="53" s="1"/>
  <c r="R6" i="70"/>
  <c r="B1209" i="53" s="1"/>
  <c r="AB25" i="70"/>
  <c r="B433" i="53" s="1"/>
  <c r="F129" i="54"/>
  <c r="Z31" i="24"/>
  <c r="Z46" i="24"/>
  <c r="AB44" i="70"/>
  <c r="B2610" i="53" s="1"/>
  <c r="AG10" i="11"/>
  <c r="AB10" i="11"/>
  <c r="AI10" i="11"/>
  <c r="AH10" i="11"/>
  <c r="AE31" i="11"/>
  <c r="AA31" i="11"/>
  <c r="AK31" i="11"/>
  <c r="AJ31" i="11"/>
  <c r="AK64" i="11"/>
  <c r="AG64" i="11"/>
  <c r="Y64" i="11"/>
  <c r="X64" i="11"/>
  <c r="AE64" i="11"/>
  <c r="AF64" i="11"/>
  <c r="AA64" i="11"/>
  <c r="AD64" i="11"/>
  <c r="AJ64" i="11"/>
  <c r="W64" i="11"/>
  <c r="AC64" i="11"/>
  <c r="AI64" i="11"/>
  <c r="AB64" i="11"/>
  <c r="I65" i="31"/>
  <c r="AH64" i="11"/>
  <c r="Z64" i="11"/>
  <c r="W14" i="11"/>
  <c r="Z14" i="11"/>
  <c r="AI14" i="11"/>
  <c r="Y14" i="11"/>
  <c r="AE14" i="11"/>
  <c r="AG14" i="11"/>
  <c r="AB14" i="11"/>
  <c r="I14" i="31"/>
  <c r="AJ14" i="11"/>
  <c r="AF14" i="11"/>
  <c r="AD14" i="11"/>
  <c r="AC14" i="11"/>
  <c r="Z38" i="11"/>
  <c r="AC38" i="11"/>
  <c r="AF38" i="11"/>
  <c r="AD38" i="11"/>
  <c r="I39" i="31"/>
  <c r="L39" i="31" s="1"/>
  <c r="Y38" i="11"/>
  <c r="AB38" i="11"/>
  <c r="AA38" i="11"/>
  <c r="X38" i="11"/>
  <c r="AH38" i="11"/>
  <c r="AG38" i="11"/>
  <c r="AE38" i="11"/>
  <c r="AJ38" i="11"/>
  <c r="AI38" i="11"/>
  <c r="AK38" i="11"/>
  <c r="W38" i="11"/>
  <c r="AI68" i="11"/>
  <c r="Y68" i="11"/>
  <c r="AG68" i="11"/>
  <c r="AK68" i="11"/>
  <c r="Z68" i="11"/>
  <c r="AE68" i="11"/>
  <c r="AB68" i="11"/>
  <c r="AA68" i="11"/>
  <c r="W68" i="11"/>
  <c r="X68" i="11"/>
  <c r="AF68" i="11"/>
  <c r="AD68" i="11"/>
  <c r="AF34" i="11"/>
  <c r="AC34" i="11"/>
  <c r="AE34" i="11"/>
  <c r="AI34" i="11"/>
  <c r="AH34" i="11"/>
  <c r="AJ34" i="11"/>
  <c r="I35" i="31"/>
  <c r="J35" i="31" s="1"/>
  <c r="Y34" i="11"/>
  <c r="AB34" i="11"/>
  <c r="W34" i="11"/>
  <c r="Z34" i="11"/>
  <c r="AG34" i="11"/>
  <c r="X34" i="11"/>
  <c r="AA34" i="11"/>
  <c r="AD34" i="11"/>
  <c r="AK34" i="11"/>
  <c r="W55" i="11"/>
  <c r="AA55" i="11"/>
  <c r="Y24" i="11"/>
  <c r="AF24" i="11"/>
  <c r="Z24" i="11"/>
  <c r="AK24" i="11"/>
  <c r="AA24" i="11"/>
  <c r="AI24" i="11"/>
  <c r="B980" i="53"/>
  <c r="J6" i="31"/>
  <c r="K6" i="31"/>
  <c r="L6" i="31"/>
  <c r="AE51" i="11"/>
  <c r="AF51" i="11"/>
  <c r="AI51" i="11"/>
  <c r="AH51" i="11"/>
  <c r="AK51" i="11"/>
  <c r="X51" i="11"/>
  <c r="AC51" i="11"/>
  <c r="AJ51" i="11"/>
  <c r="Y51" i="11"/>
  <c r="AB51" i="11"/>
  <c r="W51" i="11"/>
  <c r="AG51" i="11"/>
  <c r="AD20" i="11"/>
  <c r="AK20" i="11"/>
  <c r="AG20" i="11"/>
  <c r="AH20" i="11"/>
  <c r="AF20" i="11"/>
  <c r="I20" i="31"/>
  <c r="AB20" i="11"/>
  <c r="AC20" i="11"/>
  <c r="Y20" i="11"/>
  <c r="AE20" i="11"/>
  <c r="AI20" i="11"/>
  <c r="AA20" i="11"/>
  <c r="X20" i="11"/>
  <c r="Z20" i="11"/>
  <c r="AJ20" i="11"/>
  <c r="W20" i="11"/>
  <c r="Z25" i="11"/>
  <c r="AJ25" i="11"/>
  <c r="AG25" i="11"/>
  <c r="AC25" i="11"/>
  <c r="AD25" i="11"/>
  <c r="AA25" i="11"/>
  <c r="AH25" i="11"/>
  <c r="AB25" i="11"/>
  <c r="I25" i="31"/>
  <c r="K25" i="31" s="1"/>
  <c r="Y25" i="11"/>
  <c r="W25" i="11"/>
  <c r="AK25" i="11"/>
  <c r="AF25" i="11"/>
  <c r="X25" i="11"/>
  <c r="AI25" i="11"/>
  <c r="AE25" i="11"/>
  <c r="J45" i="31"/>
  <c r="L45" i="31"/>
  <c r="I47" i="31"/>
  <c r="Y46" i="11"/>
  <c r="Z46" i="11"/>
  <c r="AI46" i="11"/>
  <c r="AI35" i="11"/>
  <c r="AJ35" i="11"/>
  <c r="Z35" i="11"/>
  <c r="X35" i="11"/>
  <c r="W67" i="11"/>
  <c r="AA21" i="11"/>
  <c r="AD72" i="11"/>
  <c r="AG72" i="11"/>
  <c r="AA72" i="11"/>
  <c r="Z72" i="11"/>
  <c r="X72" i="11"/>
  <c r="AJ72" i="11"/>
  <c r="AH72" i="11"/>
  <c r="AC72" i="11"/>
  <c r="AE72" i="11"/>
  <c r="I75" i="31"/>
  <c r="K75" i="31" s="1"/>
  <c r="AB72" i="11"/>
  <c r="Y72" i="11"/>
  <c r="AI72" i="11"/>
  <c r="W72" i="11"/>
  <c r="AF72" i="11"/>
  <c r="AK72" i="11"/>
  <c r="AJ30" i="11"/>
  <c r="AC30" i="11"/>
  <c r="Z30" i="11"/>
  <c r="AI30" i="11"/>
  <c r="AA30" i="11"/>
  <c r="AK30" i="11"/>
  <c r="AD30" i="11"/>
  <c r="I30" i="31"/>
  <c r="J30" i="31" s="1"/>
  <c r="AF30" i="11"/>
  <c r="W30" i="11"/>
  <c r="AE30" i="11"/>
  <c r="AH30" i="11"/>
  <c r="X30" i="11"/>
  <c r="AG30" i="11"/>
  <c r="Y30" i="11"/>
  <c r="AB30" i="11"/>
  <c r="AJ48" i="11"/>
  <c r="W48" i="11"/>
  <c r="X48" i="11"/>
  <c r="AE48" i="11"/>
  <c r="AA48" i="11"/>
  <c r="I49" i="31"/>
  <c r="J49" i="31" s="1"/>
  <c r="AH48" i="11"/>
  <c r="AK48" i="11"/>
  <c r="AB48" i="11"/>
  <c r="AC48" i="11"/>
  <c r="AI48" i="11"/>
  <c r="AD48" i="11"/>
  <c r="AF48" i="11"/>
  <c r="AG48" i="11"/>
  <c r="Y48" i="11"/>
  <c r="Z48" i="11"/>
  <c r="Y63" i="11"/>
  <c r="AB63" i="11"/>
  <c r="W63" i="11"/>
  <c r="AE63" i="11"/>
  <c r="AF63" i="11"/>
  <c r="AD63" i="11"/>
  <c r="AK63" i="11"/>
  <c r="AA63" i="11"/>
  <c r="AJ63" i="11"/>
  <c r="I64" i="31"/>
  <c r="K64" i="31" s="1"/>
  <c r="AH63" i="11"/>
  <c r="Z63" i="11"/>
  <c r="X63" i="11"/>
  <c r="AG63" i="11"/>
  <c r="AI63" i="11"/>
  <c r="AC63" i="11"/>
  <c r="AE54" i="11"/>
  <c r="AH54" i="11"/>
  <c r="AC54" i="11"/>
  <c r="AD54" i="11"/>
  <c r="Y54" i="11"/>
  <c r="AJ54" i="11"/>
  <c r="AI54" i="11"/>
  <c r="I55" i="31"/>
  <c r="AF54" i="11"/>
  <c r="AG54" i="11"/>
  <c r="AB54" i="11"/>
  <c r="X54" i="11"/>
  <c r="Z54" i="11"/>
  <c r="AA54" i="11"/>
  <c r="AK54" i="11"/>
  <c r="W54" i="11"/>
  <c r="W11" i="11"/>
  <c r="AJ11" i="11"/>
  <c r="Z11" i="11"/>
  <c r="AK11" i="11"/>
  <c r="AC11" i="11"/>
  <c r="AA11" i="11"/>
  <c r="AD11" i="11"/>
  <c r="AH11" i="11"/>
  <c r="AF11" i="11"/>
  <c r="I11" i="31"/>
  <c r="L11" i="31" s="1"/>
  <c r="AG11" i="11"/>
  <c r="AB11" i="11"/>
  <c r="Y11" i="11"/>
  <c r="X11" i="11"/>
  <c r="AI11" i="11"/>
  <c r="AE11" i="11"/>
  <c r="AB56" i="11"/>
  <c r="I57" i="31"/>
  <c r="J57" i="31" s="1"/>
  <c r="X56" i="11"/>
  <c r="W56" i="11"/>
  <c r="AE33" i="11"/>
  <c r="AA33" i="11"/>
  <c r="AH33" i="11"/>
  <c r="Y33" i="11"/>
  <c r="AD58" i="11"/>
  <c r="Y58" i="11"/>
  <c r="X58" i="11"/>
  <c r="AC58" i="11"/>
  <c r="Z58" i="11"/>
  <c r="AG58" i="11"/>
  <c r="AA58" i="11"/>
  <c r="AK58" i="11"/>
  <c r="AE58" i="11"/>
  <c r="AF58" i="11"/>
  <c r="AH58" i="11"/>
  <c r="I59" i="31"/>
  <c r="J59" i="31" s="1"/>
  <c r="AB58" i="11"/>
  <c r="AI58" i="11"/>
  <c r="AJ58" i="11"/>
  <c r="W58" i="11"/>
  <c r="AF32" i="11"/>
  <c r="AD32" i="11"/>
  <c r="W32" i="11"/>
  <c r="AJ32" i="11"/>
  <c r="Z42" i="11"/>
  <c r="Y42" i="11"/>
  <c r="AB42" i="11"/>
  <c r="W42" i="11"/>
  <c r="AA42" i="11"/>
  <c r="AG42" i="11"/>
  <c r="AD42" i="11"/>
  <c r="AH42" i="11"/>
  <c r="AC42" i="11"/>
  <c r="AJ42" i="11"/>
  <c r="AK42" i="11"/>
  <c r="AE42" i="11"/>
  <c r="AF42" i="11"/>
  <c r="AI42" i="11"/>
  <c r="I43" i="31"/>
  <c r="L43" i="31" s="1"/>
  <c r="X42" i="11"/>
  <c r="AH26" i="11"/>
  <c r="Z26" i="11"/>
  <c r="I26" i="31"/>
  <c r="J26" i="31" s="1"/>
  <c r="W26" i="11"/>
  <c r="AI26" i="11"/>
  <c r="AA26" i="11"/>
  <c r="AC26" i="11"/>
  <c r="AF26" i="11"/>
  <c r="X26" i="11"/>
  <c r="AB26" i="11"/>
  <c r="AK26" i="11"/>
  <c r="AE26" i="11"/>
  <c r="AG26" i="11"/>
  <c r="Y26" i="11"/>
  <c r="AD26" i="11"/>
  <c r="AJ26" i="11"/>
  <c r="W70" i="11"/>
  <c r="X70" i="11"/>
  <c r="AD70" i="11"/>
  <c r="AI70" i="11"/>
  <c r="Z70" i="11"/>
  <c r="AJ70" i="11"/>
  <c r="AE70" i="11"/>
  <c r="AF70" i="11"/>
  <c r="AC70" i="11"/>
  <c r="Y70" i="11"/>
  <c r="AG70" i="11"/>
  <c r="AB70" i="11"/>
  <c r="AK70" i="11"/>
  <c r="I72" i="31"/>
  <c r="L72" i="31" s="1"/>
  <c r="AH70" i="11"/>
  <c r="AA70" i="11"/>
  <c r="X28" i="11"/>
  <c r="AB28" i="11"/>
  <c r="AJ28" i="11"/>
  <c r="AD28" i="11"/>
  <c r="Y28" i="11"/>
  <c r="AC28" i="11"/>
  <c r="AH28" i="11"/>
  <c r="AG28" i="11"/>
  <c r="Z28" i="11"/>
  <c r="AA28" i="11"/>
  <c r="AK28" i="11"/>
  <c r="AF28" i="11"/>
  <c r="AI28" i="11"/>
  <c r="AE28" i="11"/>
  <c r="W28" i="11"/>
  <c r="I28" i="31"/>
  <c r="J28" i="31" s="1"/>
  <c r="Y52" i="11"/>
  <c r="W52" i="11"/>
  <c r="AG52" i="11"/>
  <c r="AE52" i="11"/>
  <c r="I53" i="31"/>
  <c r="L53" i="31" s="1"/>
  <c r="AK52" i="11"/>
  <c r="AJ52" i="11"/>
  <c r="AF52" i="11"/>
  <c r="AD52" i="11"/>
  <c r="AI52" i="11"/>
  <c r="AC52" i="11"/>
  <c r="AH52" i="11"/>
  <c r="AA52" i="11"/>
  <c r="AB52" i="11"/>
  <c r="X52" i="11"/>
  <c r="Z52" i="11"/>
  <c r="L17" i="31"/>
  <c r="J17" i="31"/>
  <c r="K17" i="31"/>
  <c r="B1096" i="53"/>
  <c r="W44" i="56"/>
  <c r="P44" i="56"/>
  <c r="M56" i="56"/>
  <c r="N56" i="56" s="1"/>
  <c r="Q56" i="56"/>
  <c r="B1100" i="53"/>
  <c r="L35" i="31"/>
  <c r="L14" i="31"/>
  <c r="K65" i="31"/>
  <c r="J65" i="31"/>
  <c r="L65" i="31"/>
  <c r="K20" i="31"/>
  <c r="J25" i="31"/>
  <c r="K53" i="31"/>
  <c r="L28" i="31"/>
  <c r="K28" i="31"/>
  <c r="K59" i="31"/>
  <c r="L59" i="31"/>
  <c r="L55" i="31"/>
  <c r="K55" i="31"/>
  <c r="J55" i="31"/>
  <c r="K30" i="31"/>
  <c r="L30" i="31"/>
  <c r="K11" i="31"/>
  <c r="L49" i="31"/>
  <c r="L75" i="31"/>
  <c r="B1008" i="53"/>
  <c r="W56" i="56"/>
  <c r="P56" i="56"/>
  <c r="AK25" i="25"/>
  <c r="AN25" i="25" s="1"/>
  <c r="AJ25" i="25"/>
  <c r="AM25" i="25" s="1"/>
  <c r="B473" i="53"/>
  <c r="B850" i="53"/>
  <c r="B1914" i="53"/>
  <c r="W23" i="70"/>
  <c r="B371" i="53" s="1"/>
  <c r="B647" i="53"/>
  <c r="W33" i="70"/>
  <c r="M40" i="70"/>
  <c r="N40" i="70" s="1"/>
  <c r="B1920" i="53" s="1"/>
  <c r="AK18" i="25"/>
  <c r="AN18" i="25" s="1"/>
  <c r="AJ15" i="25"/>
  <c r="AM15" i="25" s="1"/>
  <c r="AK15" i="25"/>
  <c r="AN15" i="25" s="1"/>
  <c r="M14" i="70"/>
  <c r="N14" i="70" s="1"/>
  <c r="S14" i="70"/>
  <c r="B2663" i="53" s="1"/>
  <c r="AJ36" i="25"/>
  <c r="AM36" i="25" s="1"/>
  <c r="AJ12" i="25"/>
  <c r="AM12" i="25" s="1"/>
  <c r="AK12" i="25"/>
  <c r="AN12" i="25" s="1"/>
  <c r="AJ37" i="25"/>
  <c r="AM37" i="25" s="1"/>
  <c r="AJ43" i="25"/>
  <c r="AM43" i="25" s="1"/>
  <c r="V15" i="70"/>
  <c r="W15" i="70"/>
  <c r="B1067" i="53" s="1"/>
  <c r="AJ51" i="17"/>
  <c r="AJ15" i="17"/>
  <c r="AK16" i="25" s="1"/>
  <c r="AN16" i="25" s="1"/>
  <c r="B1630" i="53"/>
  <c r="V41" i="70" l="1"/>
  <c r="W41" i="70"/>
  <c r="B879" i="53"/>
  <c r="B1972" i="53"/>
  <c r="B1228" i="53"/>
  <c r="V6" i="70"/>
  <c r="B1199" i="53"/>
  <c r="W6" i="70"/>
  <c r="B1242" i="53" s="1"/>
  <c r="B212" i="53"/>
  <c r="V13" i="70"/>
  <c r="W14" i="70"/>
  <c r="B1038" i="53" s="1"/>
  <c r="V14" i="70"/>
  <c r="W26" i="70"/>
  <c r="B458" i="53" s="1"/>
  <c r="V26" i="70"/>
  <c r="B444" i="53"/>
  <c r="B2146" i="53"/>
  <c r="B7" i="53"/>
  <c r="B2165" i="53"/>
  <c r="AC18" i="70"/>
  <c r="AC38" i="70"/>
  <c r="V33" i="70"/>
  <c r="V23" i="70"/>
  <c r="V40" i="70"/>
  <c r="B2278" i="53"/>
  <c r="W16" i="70"/>
  <c r="W19" i="70"/>
  <c r="B255" i="53" s="1"/>
  <c r="B2001" i="53"/>
  <c r="B995" i="53"/>
  <c r="B840" i="53"/>
  <c r="B2402" i="53"/>
  <c r="B2223" i="53"/>
  <c r="B2731" i="53"/>
  <c r="B95" i="53"/>
  <c r="B1159" i="53"/>
  <c r="AC47" i="70"/>
  <c r="B114" i="53"/>
  <c r="AC5" i="70"/>
  <c r="B2756" i="53"/>
  <c r="B1277" i="53"/>
  <c r="B50" i="53"/>
  <c r="B2491" i="53"/>
  <c r="B2761" i="53"/>
  <c r="B1586" i="53"/>
  <c r="V16" i="70"/>
  <c r="V48" i="70"/>
  <c r="B2412" i="53"/>
  <c r="B1814" i="53"/>
  <c r="B1218" i="53"/>
  <c r="W12" i="70"/>
  <c r="B197" i="53" s="1"/>
  <c r="B1307" i="53"/>
  <c r="B1933" i="53"/>
  <c r="P21" i="24"/>
  <c r="AJ18" i="25"/>
  <c r="AM18" i="25" s="1"/>
  <c r="R45" i="56"/>
  <c r="O26" i="70"/>
  <c r="B451" i="53" s="1"/>
  <c r="D451" i="53" s="1"/>
  <c r="O9" i="70"/>
  <c r="O6" i="70"/>
  <c r="R20" i="70"/>
  <c r="B280" i="53" s="1"/>
  <c r="M26" i="24"/>
  <c r="O51" i="56"/>
  <c r="O48" i="70"/>
  <c r="AJ42" i="25"/>
  <c r="AM42" i="25" s="1"/>
  <c r="AK43" i="25"/>
  <c r="AN43" i="25" s="1"/>
  <c r="AJ26" i="25"/>
  <c r="AM26" i="25" s="1"/>
  <c r="AJ11" i="25"/>
  <c r="AM11" i="25" s="1"/>
  <c r="BU29" i="17"/>
  <c r="S36" i="56"/>
  <c r="BU30" i="17"/>
  <c r="BU37" i="17"/>
  <c r="BT25" i="17"/>
  <c r="Q34" i="56" s="1"/>
  <c r="BU22" i="17"/>
  <c r="BU43" i="17"/>
  <c r="BT11" i="17"/>
  <c r="Q11" i="70" s="1"/>
  <c r="B163" i="53" s="1"/>
  <c r="D163" i="53" s="1"/>
  <c r="BU41" i="17"/>
  <c r="BU13" i="17"/>
  <c r="BU6" i="17"/>
  <c r="BT22" i="17"/>
  <c r="BS22" i="17" s="1"/>
  <c r="P22" i="70" s="1"/>
  <c r="BU49" i="17"/>
  <c r="BU12" i="17"/>
  <c r="BU48" i="17"/>
  <c r="AJ22" i="17"/>
  <c r="M22" i="70" s="1"/>
  <c r="N22" i="70" s="1"/>
  <c r="B334" i="53" s="1"/>
  <c r="BT6" i="17"/>
  <c r="Q6" i="70" s="1"/>
  <c r="B1237" i="53" s="1"/>
  <c r="D1237" i="53" s="1"/>
  <c r="BT33" i="17"/>
  <c r="Q33" i="70" s="1"/>
  <c r="B1595" i="53" s="1"/>
  <c r="D1595" i="53" s="1"/>
  <c r="BT17" i="17"/>
  <c r="BS17" i="17" s="1"/>
  <c r="BT29" i="17"/>
  <c r="BS29" i="17" s="1"/>
  <c r="BT35" i="17"/>
  <c r="Q35" i="70" s="1"/>
  <c r="B1804" i="53" s="1"/>
  <c r="D1804" i="53" s="1"/>
  <c r="BW39" i="17"/>
  <c r="AH39" i="70" s="1"/>
  <c r="B842" i="53" s="1"/>
  <c r="BU50" i="17"/>
  <c r="BT24" i="17"/>
  <c r="O24" i="24" s="1"/>
  <c r="BU10" i="17"/>
  <c r="BW14" i="17"/>
  <c r="BW20" i="17"/>
  <c r="AH20" i="70" s="1"/>
  <c r="BU28" i="17"/>
  <c r="BU19" i="17"/>
  <c r="BU27" i="17"/>
  <c r="BT32" i="17"/>
  <c r="BT34" i="17"/>
  <c r="BS34" i="17" s="1"/>
  <c r="P34" i="70" s="1"/>
  <c r="B1713" i="53" s="1"/>
  <c r="D1713" i="53" s="1"/>
  <c r="BT9" i="17"/>
  <c r="O42" i="24" s="1"/>
  <c r="BT36" i="17"/>
  <c r="Q36" i="70" s="1"/>
  <c r="B772" i="53" s="1"/>
  <c r="BT30" i="17"/>
  <c r="BW25" i="17"/>
  <c r="AH25" i="70" s="1"/>
  <c r="B436" i="53" s="1"/>
  <c r="BW12" i="17"/>
  <c r="AH12" i="70" s="1"/>
  <c r="B204" i="53" s="1"/>
  <c r="BW28" i="17"/>
  <c r="AH28" i="70" s="1"/>
  <c r="B1279" i="53" s="1"/>
  <c r="AJ9" i="25"/>
  <c r="AM9" i="25" s="1"/>
  <c r="BW15" i="17"/>
  <c r="AH15" i="70" s="1"/>
  <c r="M10" i="70"/>
  <c r="N10" i="70" s="1"/>
  <c r="BW43" i="17"/>
  <c r="AH43" i="70" s="1"/>
  <c r="B2374" i="53" s="1"/>
  <c r="BW36" i="17"/>
  <c r="BW40" i="17"/>
  <c r="AH40" i="70" s="1"/>
  <c r="B871" i="53" s="1"/>
  <c r="BW17" i="17"/>
  <c r="BW50" i="17"/>
  <c r="AH50" i="70" s="1"/>
  <c r="BW35" i="17"/>
  <c r="AH35" i="70" s="1"/>
  <c r="BW6" i="17"/>
  <c r="AH6" i="70" s="1"/>
  <c r="BW41" i="17"/>
  <c r="AH41" i="70" s="1"/>
  <c r="BW49" i="17"/>
  <c r="AH49" i="70" s="1"/>
  <c r="B2493" i="53" s="1"/>
  <c r="B56" i="53"/>
  <c r="AG18" i="70"/>
  <c r="S33" i="56"/>
  <c r="AK26" i="25"/>
  <c r="AN26" i="25" s="1"/>
  <c r="AG54" i="56"/>
  <c r="F114" i="54"/>
  <c r="B2666" i="53"/>
  <c r="W10" i="70"/>
  <c r="B139" i="53" s="1"/>
  <c r="V10" i="70"/>
  <c r="B125" i="53"/>
  <c r="B2716" i="53"/>
  <c r="B1057" i="53"/>
  <c r="B2746" i="53"/>
  <c r="B1144" i="53"/>
  <c r="B2652" i="53"/>
  <c r="B2682" i="53"/>
  <c r="B1024" i="53"/>
  <c r="B579" i="53"/>
  <c r="B1426" i="53"/>
  <c r="O40" i="56"/>
  <c r="M65" i="56"/>
  <c r="N65" i="56" s="1"/>
  <c r="O22" i="24"/>
  <c r="Q22" i="24" s="1"/>
  <c r="M47" i="24"/>
  <c r="Q47" i="24" s="1"/>
  <c r="M74" i="56"/>
  <c r="N74" i="56" s="1"/>
  <c r="N6" i="24"/>
  <c r="Q21" i="56"/>
  <c r="T21" i="56" s="1"/>
  <c r="AC21" i="56" s="1"/>
  <c r="AI21" i="56" s="1"/>
  <c r="AJ21" i="56" s="1"/>
  <c r="P64" i="56"/>
  <c r="T64" i="56" s="1"/>
  <c r="P13" i="56"/>
  <c r="R39" i="56"/>
  <c r="Q20" i="56"/>
  <c r="T20" i="56" s="1"/>
  <c r="AC20" i="56" s="1"/>
  <c r="AI20" i="56" s="1"/>
  <c r="AJ20" i="56" s="1"/>
  <c r="O34" i="24"/>
  <c r="R73" i="56"/>
  <c r="O13" i="56"/>
  <c r="M19" i="24"/>
  <c r="Q19" i="24" s="1"/>
  <c r="Y19" i="24" s="1"/>
  <c r="AB19" i="24" s="1"/>
  <c r="AC19" i="24" s="1"/>
  <c r="R59" i="56"/>
  <c r="M76" i="56"/>
  <c r="N76" i="56" s="1"/>
  <c r="U76" i="56" s="1"/>
  <c r="P31" i="24"/>
  <c r="Q30" i="56"/>
  <c r="Q14" i="56"/>
  <c r="T14" i="56" s="1"/>
  <c r="AC14" i="56" s="1"/>
  <c r="AI14" i="56" s="1"/>
  <c r="AJ14" i="56" s="1"/>
  <c r="O72" i="56"/>
  <c r="M30" i="56"/>
  <c r="N30" i="56" s="1"/>
  <c r="M11" i="56"/>
  <c r="N11" i="56" s="1"/>
  <c r="R9" i="56"/>
  <c r="Q74" i="56"/>
  <c r="T74" i="56" s="1"/>
  <c r="S30" i="70"/>
  <c r="B1388" i="53" s="1"/>
  <c r="D1388" i="53" s="1"/>
  <c r="M28" i="24"/>
  <c r="Q28" i="24" s="1"/>
  <c r="O29" i="70"/>
  <c r="B538" i="53" s="1"/>
  <c r="D538" i="53" s="1"/>
  <c r="R13" i="56"/>
  <c r="O8" i="56"/>
  <c r="S58" i="56"/>
  <c r="Q18" i="56"/>
  <c r="R31" i="70"/>
  <c r="B1447" i="53" s="1"/>
  <c r="O31" i="70"/>
  <c r="O6" i="24"/>
  <c r="Q6" i="24" s="1"/>
  <c r="Y6" i="24" s="1"/>
  <c r="R29" i="70"/>
  <c r="B1328" i="53" s="1"/>
  <c r="D1328" i="53" s="1"/>
  <c r="R32" i="70"/>
  <c r="M45" i="24"/>
  <c r="N20" i="24"/>
  <c r="Q20" i="24" s="1"/>
  <c r="I55" i="1"/>
  <c r="N55" i="1" s="1"/>
  <c r="P55" i="1" s="1"/>
  <c r="R69" i="56"/>
  <c r="O17" i="56"/>
  <c r="S22" i="56"/>
  <c r="Q23" i="56"/>
  <c r="T23" i="56" s="1"/>
  <c r="AC23" i="56" s="1"/>
  <c r="AI23" i="56" s="1"/>
  <c r="AJ23" i="56" s="1"/>
  <c r="R33" i="70"/>
  <c r="B1626" i="53" s="1"/>
  <c r="D1626" i="53" s="1"/>
  <c r="R71" i="56"/>
  <c r="M9" i="56"/>
  <c r="N9" i="56" s="1"/>
  <c r="S25" i="56"/>
  <c r="O38" i="56"/>
  <c r="O39" i="70"/>
  <c r="B828" i="53" s="1"/>
  <c r="D828" i="53" s="1"/>
  <c r="Q9" i="56"/>
  <c r="I60" i="1"/>
  <c r="N60" i="1" s="1"/>
  <c r="P60" i="1" s="1"/>
  <c r="O31" i="56"/>
  <c r="P58" i="56"/>
  <c r="O36" i="70"/>
  <c r="B1832" i="53" s="1"/>
  <c r="D1832" i="53" s="1"/>
  <c r="M7" i="24"/>
  <c r="Q7" i="24" s="1"/>
  <c r="Y7" i="24" s="1"/>
  <c r="AB7" i="24" s="1"/>
  <c r="AC7" i="24" s="1"/>
  <c r="O15" i="24"/>
  <c r="Q15" i="24" s="1"/>
  <c r="Y15" i="24" s="1"/>
  <c r="AB15" i="24" s="1"/>
  <c r="AC15" i="24" s="1"/>
  <c r="S44" i="56"/>
  <c r="P19" i="56"/>
  <c r="T19" i="56" s="1"/>
  <c r="AC19" i="56" s="1"/>
  <c r="AI19" i="56" s="1"/>
  <c r="AJ19" i="56" s="1"/>
  <c r="Q76" i="56"/>
  <c r="P25" i="56"/>
  <c r="R22" i="56"/>
  <c r="B864" i="53"/>
  <c r="AI22" i="11"/>
  <c r="AG22" i="11"/>
  <c r="AJ22" i="11"/>
  <c r="AC22" i="11"/>
  <c r="X22" i="11"/>
  <c r="Z22" i="11"/>
  <c r="B2476" i="53"/>
  <c r="B2150" i="53"/>
  <c r="B2506" i="53"/>
  <c r="D2512" i="53" s="1"/>
  <c r="W49" i="70"/>
  <c r="B21" i="53" s="1"/>
  <c r="V24" i="70"/>
  <c r="B390" i="53"/>
  <c r="D396" i="53" s="1"/>
  <c r="B1262" i="53"/>
  <c r="B1292" i="53"/>
  <c r="D1298" i="53" s="1"/>
  <c r="B506" i="53"/>
  <c r="D509" i="53" s="1"/>
  <c r="V40" i="11"/>
  <c r="AE40" i="9"/>
  <c r="AD40" i="9"/>
  <c r="X40" i="9"/>
  <c r="V40" i="9"/>
  <c r="AH40" i="9"/>
  <c r="AF40" i="9"/>
  <c r="AB40" i="9"/>
  <c r="AI40" i="9"/>
  <c r="Y40" i="9"/>
  <c r="AJ40" i="9"/>
  <c r="AA40" i="9"/>
  <c r="AG40" i="9"/>
  <c r="AB55" i="11"/>
  <c r="Z55" i="11"/>
  <c r="K42" i="31"/>
  <c r="J42" i="31"/>
  <c r="B1115" i="53"/>
  <c r="B2895" i="53"/>
  <c r="AH30" i="70"/>
  <c r="AF29" i="11"/>
  <c r="Y44" i="11"/>
  <c r="AA44" i="11"/>
  <c r="AB44" i="11"/>
  <c r="AC44" i="11"/>
  <c r="AF44" i="11"/>
  <c r="Z8" i="9"/>
  <c r="V8" i="9"/>
  <c r="AC8" i="9"/>
  <c r="V8" i="11"/>
  <c r="Y8" i="9"/>
  <c r="AI8" i="9"/>
  <c r="AF8" i="9"/>
  <c r="W8" i="9"/>
  <c r="AJ8" i="9"/>
  <c r="AE8" i="9"/>
  <c r="AH8" i="9"/>
  <c r="W18" i="9"/>
  <c r="AA18" i="9"/>
  <c r="AB18" i="9"/>
  <c r="Y18" i="9"/>
  <c r="AG18" i="9"/>
  <c r="AH18" i="9"/>
  <c r="X18" i="9"/>
  <c r="AE22" i="9"/>
  <c r="AD22" i="9"/>
  <c r="AF22" i="9"/>
  <c r="W22" i="9"/>
  <c r="Y22" i="9"/>
  <c r="X22" i="9"/>
  <c r="W26" i="9"/>
  <c r="Z26" i="9"/>
  <c r="AB26" i="9"/>
  <c r="AC26" i="9"/>
  <c r="Z33" i="9"/>
  <c r="W33" i="9"/>
  <c r="AD37" i="9"/>
  <c r="AE37" i="9"/>
  <c r="AA45" i="11"/>
  <c r="X45" i="11"/>
  <c r="V57" i="11"/>
  <c r="AB57" i="9"/>
  <c r="AA57" i="9"/>
  <c r="AG57" i="9"/>
  <c r="Z57" i="9"/>
  <c r="AC57" i="9"/>
  <c r="X57" i="9"/>
  <c r="Y57" i="9"/>
  <c r="AK57" i="9"/>
  <c r="AI57" i="9"/>
  <c r="W57" i="9"/>
  <c r="B1795" i="53"/>
  <c r="W35" i="70"/>
  <c r="B1779" i="53" s="1"/>
  <c r="B734" i="53"/>
  <c r="B2397" i="53"/>
  <c r="V28" i="70"/>
  <c r="B1649" i="53"/>
  <c r="W17" i="70"/>
  <c r="B1689" i="53" s="1"/>
  <c r="AJ50" i="9"/>
  <c r="AD50" i="9"/>
  <c r="AA50" i="9"/>
  <c r="Z50" i="9"/>
  <c r="X50" i="9"/>
  <c r="AG50" i="9"/>
  <c r="V69" i="11"/>
  <c r="AK69" i="9"/>
  <c r="Y69" i="9"/>
  <c r="AH69" i="9"/>
  <c r="AE69" i="9"/>
  <c r="V69" i="9"/>
  <c r="AJ69" i="9"/>
  <c r="AA69" i="9"/>
  <c r="AG69" i="9"/>
  <c r="X69" i="9"/>
  <c r="AB69" i="9"/>
  <c r="Z69" i="9"/>
  <c r="B2088" i="53"/>
  <c r="B966" i="53"/>
  <c r="B2372" i="53"/>
  <c r="B2107" i="53"/>
  <c r="AH36" i="70"/>
  <c r="B1846" i="53" s="1"/>
  <c r="AH9" i="70"/>
  <c r="W29" i="11"/>
  <c r="X29" i="11"/>
  <c r="AB29" i="11"/>
  <c r="AC29" i="11"/>
  <c r="AA29" i="11"/>
  <c r="Y43" i="9"/>
  <c r="W43" i="9"/>
  <c r="AD43" i="9"/>
  <c r="V43" i="9"/>
  <c r="V61" i="11"/>
  <c r="AK61" i="9"/>
  <c r="AJ61" i="9"/>
  <c r="AE61" i="9"/>
  <c r="X61" i="9"/>
  <c r="W61" i="9"/>
  <c r="AB61" i="9"/>
  <c r="AF61" i="9"/>
  <c r="AI71" i="11"/>
  <c r="Y71" i="11"/>
  <c r="X71" i="11"/>
  <c r="Z71" i="11"/>
  <c r="AH21" i="70"/>
  <c r="B320" i="53" s="1"/>
  <c r="V27" i="70"/>
  <c r="AB52" i="70"/>
  <c r="O73" i="1"/>
  <c r="V52" i="70"/>
  <c r="V43" i="70"/>
  <c r="H45" i="70"/>
  <c r="H46" i="70"/>
  <c r="P45" i="24"/>
  <c r="R46" i="56"/>
  <c r="O35" i="70"/>
  <c r="B1802" i="53" s="1"/>
  <c r="D1802" i="53" s="1"/>
  <c r="R17" i="70"/>
  <c r="B1655" i="53" s="1"/>
  <c r="R25" i="70"/>
  <c r="B425" i="53" s="1"/>
  <c r="D425" i="53" s="1"/>
  <c r="R22" i="70"/>
  <c r="B338" i="53" s="1"/>
  <c r="O21" i="70"/>
  <c r="B306" i="53" s="1"/>
  <c r="D306" i="53" s="1"/>
  <c r="AH31" i="70"/>
  <c r="B1458" i="53" s="1"/>
  <c r="R26" i="70"/>
  <c r="B454" i="53" s="1"/>
  <c r="D454" i="53" s="1"/>
  <c r="R12" i="70"/>
  <c r="B193" i="53" s="1"/>
  <c r="D193" i="53" s="1"/>
  <c r="M46" i="70"/>
  <c r="B130" i="53" s="1"/>
  <c r="O46" i="70"/>
  <c r="B132" i="53" s="1"/>
  <c r="D132" i="53" s="1"/>
  <c r="AG46" i="70"/>
  <c r="B145" i="53" s="1"/>
  <c r="R46" i="70"/>
  <c r="S46" i="70"/>
  <c r="AH46" i="70"/>
  <c r="B841" i="53"/>
  <c r="B1219" i="53"/>
  <c r="B2137" i="53"/>
  <c r="BP93" i="6"/>
  <c r="BL93" i="6"/>
  <c r="O67" i="1"/>
  <c r="U56" i="56"/>
  <c r="R49" i="24"/>
  <c r="U62" i="56"/>
  <c r="U43" i="56"/>
  <c r="BV96" i="6"/>
  <c r="BN96" i="6"/>
  <c r="BR94" i="6"/>
  <c r="BJ94" i="6"/>
  <c r="BV92" i="6"/>
  <c r="BN92" i="6"/>
  <c r="O76" i="1"/>
  <c r="O94" i="1"/>
  <c r="O68" i="1"/>
  <c r="O93" i="1"/>
  <c r="O91" i="1"/>
  <c r="P91" i="1" s="1"/>
  <c r="O69" i="1"/>
  <c r="O96" i="1"/>
  <c r="P96" i="1" s="1"/>
  <c r="O77" i="1"/>
  <c r="P77" i="1" s="1"/>
  <c r="O87" i="1"/>
  <c r="O86" i="1"/>
  <c r="O83" i="1"/>
  <c r="P83" i="1" s="1"/>
  <c r="O85" i="1"/>
  <c r="O70" i="1"/>
  <c r="O90" i="1"/>
  <c r="O88" i="1"/>
  <c r="P88" i="1" s="1"/>
  <c r="O72" i="1"/>
  <c r="P72" i="1" s="1"/>
  <c r="BR96" i="6"/>
  <c r="BJ96" i="6"/>
  <c r="BV94" i="6"/>
  <c r="BN94" i="6"/>
  <c r="BR92" i="6"/>
  <c r="BJ92" i="6"/>
  <c r="U75" i="56"/>
  <c r="U78" i="56"/>
  <c r="U66" i="56"/>
  <c r="R22" i="24"/>
  <c r="R39" i="24"/>
  <c r="R34" i="24"/>
  <c r="U69" i="56"/>
  <c r="R20" i="24"/>
  <c r="O74" i="1"/>
  <c r="U40" i="56"/>
  <c r="U55" i="56"/>
  <c r="R18" i="24"/>
  <c r="U73" i="56"/>
  <c r="U67" i="56"/>
  <c r="U35" i="56"/>
  <c r="R47" i="24"/>
  <c r="U30" i="56"/>
  <c r="O84" i="1"/>
  <c r="U63" i="56"/>
  <c r="R32" i="24"/>
  <c r="R28" i="24"/>
  <c r="U27" i="56"/>
  <c r="O71" i="1"/>
  <c r="P71" i="1" s="1"/>
  <c r="U57" i="56"/>
  <c r="U47" i="56"/>
  <c r="U25" i="56"/>
  <c r="U39" i="56"/>
  <c r="U58" i="56"/>
  <c r="U54" i="56"/>
  <c r="U49" i="56"/>
  <c r="U29" i="56"/>
  <c r="U64" i="56"/>
  <c r="R25" i="24"/>
  <c r="U42" i="56"/>
  <c r="U74" i="56"/>
  <c r="U65" i="56"/>
  <c r="U68" i="56"/>
  <c r="BE96" i="6"/>
  <c r="BE95" i="6"/>
  <c r="BE94" i="6"/>
  <c r="BE93" i="6"/>
  <c r="BE92" i="6"/>
  <c r="BU96" i="6"/>
  <c r="BQ96" i="6"/>
  <c r="BM96" i="6"/>
  <c r="BW95" i="6"/>
  <c r="BS95" i="6"/>
  <c r="BO95" i="6"/>
  <c r="BK95" i="6"/>
  <c r="BU94" i="6"/>
  <c r="BQ94" i="6"/>
  <c r="BM94" i="6"/>
  <c r="BW93" i="6"/>
  <c r="BS93" i="6"/>
  <c r="BO93" i="6"/>
  <c r="BK93" i="6"/>
  <c r="BU92" i="6"/>
  <c r="BQ92" i="6"/>
  <c r="BM92" i="6"/>
  <c r="BG96" i="6"/>
  <c r="BG95" i="6"/>
  <c r="BG94" i="6"/>
  <c r="BG93" i="6"/>
  <c r="BG92" i="6"/>
  <c r="BV95" i="6"/>
  <c r="BR95" i="6"/>
  <c r="BN95" i="6"/>
  <c r="BJ95" i="6"/>
  <c r="BT94" i="6"/>
  <c r="BP94" i="6"/>
  <c r="BV93" i="6"/>
  <c r="BR93" i="6"/>
  <c r="BN93" i="6"/>
  <c r="BJ93" i="6"/>
  <c r="BT92" i="6"/>
  <c r="BP92" i="6"/>
  <c r="BL92" i="6"/>
  <c r="BW96" i="6"/>
  <c r="BS96" i="6"/>
  <c r="BO96" i="6"/>
  <c r="BK96" i="6"/>
  <c r="BU95" i="6"/>
  <c r="BQ95" i="6"/>
  <c r="BM95" i="6"/>
  <c r="BW94" i="6"/>
  <c r="BS94" i="6"/>
  <c r="BO94" i="6"/>
  <c r="BK94" i="6"/>
  <c r="BU93" i="6"/>
  <c r="BQ93" i="6"/>
  <c r="BM93" i="6"/>
  <c r="BW92" i="6"/>
  <c r="BS92" i="6"/>
  <c r="BO92" i="6"/>
  <c r="BK92" i="6"/>
  <c r="B560" i="53"/>
  <c r="B1377" i="53"/>
  <c r="W30" i="70"/>
  <c r="V30" i="70"/>
  <c r="B1407" i="53"/>
  <c r="V32" i="70"/>
  <c r="B618" i="53"/>
  <c r="B1497" i="53"/>
  <c r="B1556" i="53"/>
  <c r="W32" i="70"/>
  <c r="B1511" i="53" s="1"/>
  <c r="V20" i="70"/>
  <c r="W20" i="70"/>
  <c r="B284" i="53" s="1"/>
  <c r="B270" i="53"/>
  <c r="B1855" i="53"/>
  <c r="B1645" i="53"/>
  <c r="B1318" i="53"/>
  <c r="B2726" i="53"/>
  <c r="B951" i="53"/>
  <c r="B1258" i="53"/>
  <c r="V29" i="70"/>
  <c r="B2248" i="53"/>
  <c r="B2426" i="53"/>
  <c r="V34" i="70"/>
  <c r="B748" i="53"/>
  <c r="W28" i="70"/>
  <c r="B1302" i="53" s="1"/>
  <c r="B1809" i="53"/>
  <c r="V21" i="70"/>
  <c r="B1347" i="53"/>
  <c r="W29" i="70"/>
  <c r="B1332" i="53" s="1"/>
  <c r="B1154" i="53"/>
  <c r="B1898" i="53"/>
  <c r="B36" i="53"/>
  <c r="B2502" i="53"/>
  <c r="B502" i="53"/>
  <c r="W24" i="70"/>
  <c r="B400" i="53" s="1"/>
  <c r="M27" i="70"/>
  <c r="S28" i="56"/>
  <c r="M31" i="24"/>
  <c r="R36" i="56"/>
  <c r="S10" i="70"/>
  <c r="AK11" i="25"/>
  <c r="AN11" i="25" s="1"/>
  <c r="BB107" i="102"/>
  <c r="BB110" i="102"/>
  <c r="S42" i="70"/>
  <c r="B1954" i="53" s="1"/>
  <c r="D1954" i="53" s="1"/>
  <c r="R53" i="56"/>
  <c r="P38" i="24"/>
  <c r="AJ40" i="25"/>
  <c r="AM40" i="25" s="1"/>
  <c r="R40" i="70"/>
  <c r="B860" i="53" s="1"/>
  <c r="D860" i="53" s="1"/>
  <c r="R48" i="56"/>
  <c r="R7" i="70"/>
  <c r="AJ8" i="25"/>
  <c r="AM8" i="25" s="1"/>
  <c r="B1675" i="53"/>
  <c r="V17" i="70"/>
  <c r="B1664" i="53"/>
  <c r="AG14" i="70"/>
  <c r="B2672" i="53" s="1"/>
  <c r="BT46" i="17"/>
  <c r="BS46" i="17" s="1"/>
  <c r="BX46" i="17" s="1"/>
  <c r="BY46" i="17" s="1"/>
  <c r="BU46" i="17"/>
  <c r="BW51" i="17"/>
  <c r="AH51" i="70" s="1"/>
  <c r="B1190" i="53" s="1"/>
  <c r="B777" i="53"/>
  <c r="B1839" i="53"/>
  <c r="K70" i="31"/>
  <c r="J70" i="31"/>
  <c r="L70" i="31"/>
  <c r="J75" i="31"/>
  <c r="L64" i="31"/>
  <c r="J72" i="31"/>
  <c r="K49" i="31"/>
  <c r="J64" i="31"/>
  <c r="K72" i="31"/>
  <c r="J53" i="31"/>
  <c r="L25" i="31"/>
  <c r="J39" i="31"/>
  <c r="K35" i="31"/>
  <c r="B2696" i="53"/>
  <c r="J11" i="31"/>
  <c r="K39" i="31"/>
  <c r="V19" i="70"/>
  <c r="V31" i="70"/>
  <c r="AK14" i="11"/>
  <c r="B1272" i="53"/>
  <c r="AH68" i="11"/>
  <c r="B2532" i="53"/>
  <c r="B603" i="53"/>
  <c r="AI23" i="11"/>
  <c r="AD23" i="11"/>
  <c r="AA23" i="11"/>
  <c r="AC23" i="11"/>
  <c r="B2175" i="53"/>
  <c r="K5" i="31"/>
  <c r="J5" i="31"/>
  <c r="B767" i="53"/>
  <c r="D773" i="53" s="1"/>
  <c r="Y8" i="11"/>
  <c r="Y5" i="11"/>
  <c r="W5" i="11"/>
  <c r="AI33" i="9"/>
  <c r="AF33" i="9"/>
  <c r="AK37" i="9"/>
  <c r="W37" i="9"/>
  <c r="AK50" i="9"/>
  <c r="V50" i="9"/>
  <c r="Y50" i="9"/>
  <c r="AC50" i="9"/>
  <c r="AF50" i="9"/>
  <c r="AE50" i="9"/>
  <c r="AB50" i="9"/>
  <c r="W50" i="9"/>
  <c r="V50" i="11"/>
  <c r="V36" i="70"/>
  <c r="W22" i="70"/>
  <c r="B342" i="53" s="1"/>
  <c r="Z23" i="9"/>
  <c r="Y23" i="9"/>
  <c r="AF23" i="9"/>
  <c r="AB27" i="9"/>
  <c r="V27" i="9"/>
  <c r="W47" i="9"/>
  <c r="Z47" i="9"/>
  <c r="AE47" i="9"/>
  <c r="AI47" i="9"/>
  <c r="V47" i="11"/>
  <c r="AI62" i="9"/>
  <c r="AA62" i="9"/>
  <c r="AK62" i="9"/>
  <c r="AH62" i="9"/>
  <c r="V62" i="11"/>
  <c r="Z16" i="9"/>
  <c r="V16" i="11"/>
  <c r="AB16" i="9"/>
  <c r="AE16" i="9"/>
  <c r="AI16" i="9"/>
  <c r="V16" i="9"/>
  <c r="AD39" i="11"/>
  <c r="Y39" i="11"/>
  <c r="AH39" i="11"/>
  <c r="V59" i="11"/>
  <c r="AI59" i="9"/>
  <c r="AG59" i="9"/>
  <c r="AK59" i="9"/>
  <c r="B2044" i="53"/>
  <c r="B1481" i="53"/>
  <c r="W13" i="70"/>
  <c r="B226" i="53" s="1"/>
  <c r="AH14" i="11"/>
  <c r="B516" i="53"/>
  <c r="L61" i="31"/>
  <c r="AH23" i="11"/>
  <c r="Z23" i="11"/>
  <c r="AJ23" i="11"/>
  <c r="B1659" i="53"/>
  <c r="AE5" i="11"/>
  <c r="AB5" i="9"/>
  <c r="Z5" i="9"/>
  <c r="AF5" i="9"/>
  <c r="X14" i="9"/>
  <c r="AE14" i="9"/>
  <c r="AG14" i="9"/>
  <c r="V14" i="9"/>
  <c r="Y53" i="9"/>
  <c r="AF53" i="9"/>
  <c r="V53" i="11"/>
  <c r="V66" i="9"/>
  <c r="AE66" i="9"/>
  <c r="AF66" i="9"/>
  <c r="Z66" i="9"/>
  <c r="AD66" i="9"/>
  <c r="O45" i="70"/>
  <c r="B2868" i="53" s="1"/>
  <c r="D2868" i="53" s="1"/>
  <c r="S45" i="70"/>
  <c r="B2872" i="53" s="1"/>
  <c r="D2872" i="53" s="1"/>
  <c r="R45" i="70"/>
  <c r="B2871" i="53" s="1"/>
  <c r="D2871" i="53" s="1"/>
  <c r="AA58" i="9"/>
  <c r="AD41" i="9"/>
  <c r="AF36" i="9"/>
  <c r="Z36" i="9"/>
  <c r="X58" i="9"/>
  <c r="X39" i="9"/>
  <c r="AC39" i="9"/>
  <c r="AD65" i="9"/>
  <c r="H23" i="70"/>
  <c r="H49" i="70"/>
  <c r="H40" i="70"/>
  <c r="H30" i="70"/>
  <c r="W37" i="70"/>
  <c r="AF58" i="9"/>
  <c r="X41" i="9"/>
  <c r="AJ36" i="9"/>
  <c r="AG36" i="9"/>
  <c r="AE41" i="9"/>
  <c r="AF39" i="9"/>
  <c r="AB65" i="9"/>
  <c r="H24" i="70"/>
  <c r="H21" i="70"/>
  <c r="H9" i="70"/>
  <c r="V65" i="11"/>
  <c r="H15" i="70"/>
  <c r="H14" i="70"/>
  <c r="H51" i="70"/>
  <c r="H52" i="70"/>
  <c r="AI56" i="11"/>
  <c r="AH56" i="11"/>
  <c r="AD56" i="11"/>
  <c r="AJ56" i="11"/>
  <c r="AC56" i="11"/>
  <c r="AA56" i="11"/>
  <c r="AF56" i="11"/>
  <c r="AE56" i="11"/>
  <c r="AG56" i="11"/>
  <c r="Y56" i="11"/>
  <c r="AK56" i="11"/>
  <c r="Z56" i="11"/>
  <c r="AC33" i="11"/>
  <c r="AD33" i="11"/>
  <c r="X33" i="11"/>
  <c r="Z33" i="11"/>
  <c r="AF33" i="11"/>
  <c r="AI33" i="11"/>
  <c r="W33" i="11"/>
  <c r="AK33" i="11"/>
  <c r="AB33" i="11"/>
  <c r="I34" i="31"/>
  <c r="AJ33" i="11"/>
  <c r="AG33" i="11"/>
  <c r="B922" i="53"/>
  <c r="B2015" i="53"/>
  <c r="B2218" i="53"/>
  <c r="B2189" i="53"/>
  <c r="B2546" i="53"/>
  <c r="B2576" i="53"/>
  <c r="AI67" i="11"/>
  <c r="AJ67" i="11"/>
  <c r="AE67" i="11"/>
  <c r="Y67" i="11"/>
  <c r="AK67" i="11"/>
  <c r="AG67" i="11"/>
  <c r="I68" i="31"/>
  <c r="Z67" i="11"/>
  <c r="AF67" i="11"/>
  <c r="AC67" i="11"/>
  <c r="X67" i="11"/>
  <c r="AH67" i="11"/>
  <c r="J24" i="31"/>
  <c r="L24" i="31"/>
  <c r="AD67" i="11"/>
  <c r="K14" i="31"/>
  <c r="J14" i="31"/>
  <c r="B1600" i="53"/>
  <c r="B661" i="53"/>
  <c r="K24" i="31"/>
  <c r="AA67" i="11"/>
  <c r="L20" i="31"/>
  <c r="J20" i="31"/>
  <c r="K57" i="31"/>
  <c r="L57" i="31"/>
  <c r="W21" i="11"/>
  <c r="X21" i="11"/>
  <c r="AD21" i="11"/>
  <c r="Y21" i="11"/>
  <c r="Z21" i="11"/>
  <c r="AE21" i="11"/>
  <c r="AF21" i="11"/>
  <c r="AG21" i="11"/>
  <c r="AH21" i="11"/>
  <c r="AK21" i="11"/>
  <c r="AI21" i="11"/>
  <c r="I21" i="31"/>
  <c r="AC21" i="11"/>
  <c r="K26" i="31"/>
  <c r="L26" i="31"/>
  <c r="K43" i="31"/>
  <c r="J43" i="31"/>
  <c r="AB21" i="11"/>
  <c r="AB67" i="11"/>
  <c r="K47" i="31"/>
  <c r="L47" i="31"/>
  <c r="J47" i="31"/>
  <c r="AH46" i="11"/>
  <c r="W46" i="11"/>
  <c r="AC46" i="11"/>
  <c r="AB46" i="11"/>
  <c r="AF46" i="11"/>
  <c r="AE46" i="11"/>
  <c r="AA46" i="11"/>
  <c r="X46" i="11"/>
  <c r="AJ46" i="11"/>
  <c r="AK46" i="11"/>
  <c r="AD46" i="11"/>
  <c r="AG46" i="11"/>
  <c r="AD35" i="11"/>
  <c r="I36" i="31"/>
  <c r="AC35" i="11"/>
  <c r="AG35" i="11"/>
  <c r="AK35" i="11"/>
  <c r="Y35" i="11"/>
  <c r="W35" i="11"/>
  <c r="AE35" i="11"/>
  <c r="AH35" i="11"/>
  <c r="AA35" i="11"/>
  <c r="AB35" i="11"/>
  <c r="AF35" i="11"/>
  <c r="AC32" i="11"/>
  <c r="Y32" i="11"/>
  <c r="I32" i="31"/>
  <c r="X32" i="11"/>
  <c r="AK32" i="11"/>
  <c r="AG32" i="11"/>
  <c r="AI32" i="11"/>
  <c r="AH32" i="11"/>
  <c r="AA32" i="11"/>
  <c r="AB32" i="11"/>
  <c r="Z32" i="11"/>
  <c r="AE32" i="11"/>
  <c r="Z7" i="9"/>
  <c r="AK7" i="9"/>
  <c r="AG7" i="9"/>
  <c r="AB10" i="9"/>
  <c r="AE10" i="9"/>
  <c r="W10" i="9"/>
  <c r="AD10" i="9"/>
  <c r="AI10" i="9"/>
  <c r="AC10" i="9"/>
  <c r="AF13" i="9"/>
  <c r="AB13" i="9"/>
  <c r="AJ13" i="9"/>
  <c r="AK13" i="9"/>
  <c r="AD13" i="9"/>
  <c r="X13" i="9"/>
  <c r="AE13" i="9"/>
  <c r="AI13" i="9"/>
  <c r="V13" i="11"/>
  <c r="AG13" i="9"/>
  <c r="AA36" i="11"/>
  <c r="Z36" i="11"/>
  <c r="AG36" i="11"/>
  <c r="AD36" i="11"/>
  <c r="W36" i="11"/>
  <c r="X55" i="11"/>
  <c r="Z31" i="11"/>
  <c r="W31" i="11"/>
  <c r="W10" i="11"/>
  <c r="AJ10" i="11"/>
  <c r="AC10" i="11"/>
  <c r="AK55" i="11"/>
  <c r="AE19" i="9"/>
  <c r="B2636" i="53"/>
  <c r="X36" i="11"/>
  <c r="V10" i="9"/>
  <c r="Z10" i="9"/>
  <c r="AJ7" i="9"/>
  <c r="V7" i="11"/>
  <c r="V49" i="70"/>
  <c r="B1705" i="53"/>
  <c r="B690" i="53"/>
  <c r="B2472" i="53"/>
  <c r="B1215" i="53"/>
  <c r="B1735" i="53"/>
  <c r="AB36" i="11"/>
  <c r="AJ36" i="11"/>
  <c r="AC13" i="9"/>
  <c r="V22" i="70"/>
  <c r="AK10" i="9"/>
  <c r="AF15" i="11"/>
  <c r="AC15" i="11"/>
  <c r="I15" i="31"/>
  <c r="AG15" i="11"/>
  <c r="AA13" i="9"/>
  <c r="Z60" i="11"/>
  <c r="AF60" i="11"/>
  <c r="Y60" i="11"/>
  <c r="AI60" i="11"/>
  <c r="AG60" i="11"/>
  <c r="X60" i="11"/>
  <c r="AA60" i="11"/>
  <c r="AE60" i="11"/>
  <c r="AB60" i="11"/>
  <c r="AJ60" i="11"/>
  <c r="AK60" i="11"/>
  <c r="W13" i="9"/>
  <c r="B2596" i="53"/>
  <c r="B2626" i="53"/>
  <c r="B2921" i="53"/>
  <c r="B2891" i="53"/>
  <c r="L52" i="31"/>
  <c r="I56" i="31"/>
  <c r="AF31" i="11"/>
  <c r="AB31" i="11"/>
  <c r="AE10" i="11"/>
  <c r="W27" i="70"/>
  <c r="B487" i="53" s="1"/>
  <c r="J52" i="31"/>
  <c r="AC55" i="11"/>
  <c r="AJ55" i="11"/>
  <c r="AF55" i="11"/>
  <c r="AC31" i="11"/>
  <c r="Y31" i="11"/>
  <c r="AI31" i="11"/>
  <c r="X31" i="11"/>
  <c r="AD10" i="11"/>
  <c r="X10" i="11"/>
  <c r="I10" i="31"/>
  <c r="AK10" i="11"/>
  <c r="V13" i="9"/>
  <c r="AJ19" i="9"/>
  <c r="V11" i="70"/>
  <c r="W11" i="70"/>
  <c r="B168" i="53" s="1"/>
  <c r="AH36" i="11"/>
  <c r="AA10" i="9"/>
  <c r="AG10" i="9"/>
  <c r="AD7" i="9"/>
  <c r="K23" i="31"/>
  <c r="B1441" i="53"/>
  <c r="V25" i="70"/>
  <c r="W25" i="70"/>
  <c r="B429" i="53" s="1"/>
  <c r="B593" i="53"/>
  <c r="B1111" i="53"/>
  <c r="AI36" i="11"/>
  <c r="B2102" i="53"/>
  <c r="AI7" i="9"/>
  <c r="X7" i="9"/>
  <c r="AD19" i="9"/>
  <c r="I37" i="31"/>
  <c r="AA12" i="11"/>
  <c r="W12" i="11"/>
  <c r="AK12" i="11"/>
  <c r="Y12" i="11"/>
  <c r="I12" i="31"/>
  <c r="AJ12" i="11"/>
  <c r="AD12" i="11"/>
  <c r="Z12" i="11"/>
  <c r="AH12" i="11"/>
  <c r="AE12" i="11"/>
  <c r="B328" i="53"/>
  <c r="Z13" i="9"/>
  <c r="AG19" i="9"/>
  <c r="AF19" i="9"/>
  <c r="X19" i="9"/>
  <c r="AC19" i="9"/>
  <c r="V19" i="9"/>
  <c r="AH19" i="9"/>
  <c r="AA19" i="9"/>
  <c r="AK19" i="9"/>
  <c r="W19" i="9"/>
  <c r="AB19" i="9"/>
  <c r="Y55" i="11"/>
  <c r="AG55" i="11"/>
  <c r="AG31" i="11"/>
  <c r="AH31" i="11"/>
  <c r="I31" i="31"/>
  <c r="Z10" i="11"/>
  <c r="AA10" i="11"/>
  <c r="AF10" i="11"/>
  <c r="AH13" i="9"/>
  <c r="AD55" i="11"/>
  <c r="V19" i="11"/>
  <c r="AE55" i="11"/>
  <c r="AK36" i="11"/>
  <c r="AF10" i="9"/>
  <c r="Y10" i="9"/>
  <c r="X10" i="9"/>
  <c r="AA7" i="9"/>
  <c r="V44" i="70"/>
  <c r="J23" i="31"/>
  <c r="L42" i="31"/>
  <c r="K61" i="31"/>
  <c r="W34" i="70"/>
  <c r="AF36" i="11"/>
  <c r="B1361" i="53"/>
  <c r="B545" i="53"/>
  <c r="AF7" i="9"/>
  <c r="V7" i="9"/>
  <c r="AB7" i="9"/>
  <c r="Y7" i="9"/>
  <c r="AJ10" i="9"/>
  <c r="AF16" i="11"/>
  <c r="AC16" i="11"/>
  <c r="AA16" i="11"/>
  <c r="Y16" i="11"/>
  <c r="AG16" i="11"/>
  <c r="AD16" i="11"/>
  <c r="I16" i="31"/>
  <c r="X16" i="11"/>
  <c r="Z16" i="11"/>
  <c r="AH16" i="11"/>
  <c r="AE16" i="11"/>
  <c r="AI16" i="11"/>
  <c r="AB16" i="11"/>
  <c r="Y22" i="11"/>
  <c r="AE22" i="11"/>
  <c r="AD22" i="11"/>
  <c r="AK22" i="11"/>
  <c r="AB22" i="11"/>
  <c r="AA22" i="11"/>
  <c r="AH22" i="11"/>
  <c r="I22" i="31"/>
  <c r="AI4" i="11"/>
  <c r="Y4" i="11"/>
  <c r="AG5" i="11"/>
  <c r="AD5" i="11"/>
  <c r="V37" i="11"/>
  <c r="AJ37" i="9"/>
  <c r="AC37" i="9"/>
  <c r="AF37" i="9"/>
  <c r="Z37" i="9"/>
  <c r="AG37" i="9"/>
  <c r="AI37" i="9"/>
  <c r="B2802" i="53"/>
  <c r="B2772" i="53"/>
  <c r="W51" i="70"/>
  <c r="B109" i="53" s="1"/>
  <c r="AC8" i="11"/>
  <c r="W8" i="11"/>
  <c r="B1903" i="53"/>
  <c r="B2049" i="53"/>
  <c r="O97" i="1"/>
  <c r="P97" i="1" s="1"/>
  <c r="O66" i="1"/>
  <c r="O81" i="1"/>
  <c r="P81" i="1" s="1"/>
  <c r="O95" i="1"/>
  <c r="O98" i="1"/>
  <c r="P98" i="1" s="1"/>
  <c r="O99" i="1"/>
  <c r="P99" i="1" s="1"/>
  <c r="AE4" i="11"/>
  <c r="AF4" i="11"/>
  <c r="AC4" i="11"/>
  <c r="AA8" i="11"/>
  <c r="X8" i="11"/>
  <c r="X5" i="11"/>
  <c r="AJ5" i="11"/>
  <c r="Y29" i="11"/>
  <c r="AK29" i="11"/>
  <c r="I29" i="31"/>
  <c r="AB25" i="9"/>
  <c r="AI25" i="9"/>
  <c r="AD25" i="9"/>
  <c r="V25" i="9"/>
  <c r="AJ52" i="9"/>
  <c r="AA52" i="9"/>
  <c r="AB36" i="9"/>
  <c r="V59" i="9"/>
  <c r="AA33" i="9"/>
  <c r="X59" i="9"/>
  <c r="AJ59" i="9"/>
  <c r="AA59" i="9"/>
  <c r="X43" i="9"/>
  <c r="AG43" i="9"/>
  <c r="AK18" i="9"/>
  <c r="V18" i="9"/>
  <c r="Z18" i="9"/>
  <c r="AI18" i="9"/>
  <c r="Y27" i="9"/>
  <c r="AG22" i="9"/>
  <c r="AJ66" i="9"/>
  <c r="AA66" i="9"/>
  <c r="V27" i="11"/>
  <c r="B1976" i="53"/>
  <c r="B883" i="53"/>
  <c r="AH16" i="9"/>
  <c r="AJ16" i="9"/>
  <c r="AK40" i="9"/>
  <c r="AC40" i="9"/>
  <c r="Z40" i="9"/>
  <c r="W40" i="9"/>
  <c r="AA30" i="9"/>
  <c r="AJ30" i="9"/>
  <c r="AD30" i="9"/>
  <c r="AG33" i="9"/>
  <c r="V43" i="11"/>
  <c r="AH43" i="9"/>
  <c r="AB43" i="9"/>
  <c r="AC43" i="9"/>
  <c r="AK43" i="9"/>
  <c r="AF43" i="9"/>
  <c r="AA43" i="9"/>
  <c r="AI43" i="9"/>
  <c r="V49" i="11"/>
  <c r="AG44" i="70"/>
  <c r="B2612" i="53" s="1"/>
  <c r="W52" i="70"/>
  <c r="B2566" i="53"/>
  <c r="B2536" i="53"/>
  <c r="V18" i="11"/>
  <c r="AF18" i="9"/>
  <c r="AE18" i="9"/>
  <c r="AC18" i="9"/>
  <c r="AD18" i="9"/>
  <c r="AB22" i="9"/>
  <c r="AH22" i="9"/>
  <c r="AI22" i="9"/>
  <c r="Z22" i="9"/>
  <c r="V22" i="9"/>
  <c r="AA22" i="9"/>
  <c r="AJ22" i="9"/>
  <c r="AI28" i="9"/>
  <c r="V28" i="9"/>
  <c r="AE36" i="9"/>
  <c r="AA36" i="9"/>
  <c r="AF59" i="9"/>
  <c r="W59" i="9"/>
  <c r="AB59" i="9"/>
  <c r="AC59" i="9"/>
  <c r="AE59" i="9"/>
  <c r="Z59" i="9"/>
  <c r="X62" i="9"/>
  <c r="AG62" i="9"/>
  <c r="AE62" i="9"/>
  <c r="V66" i="11"/>
  <c r="AK66" i="9"/>
  <c r="W66" i="9"/>
  <c r="AB66" i="9"/>
  <c r="AG66" i="9"/>
  <c r="AI66" i="9"/>
  <c r="AH66" i="9"/>
  <c r="AC66" i="9"/>
  <c r="X66" i="9"/>
  <c r="B724" i="53"/>
  <c r="B1724" i="53"/>
  <c r="V51" i="70"/>
  <c r="B26" i="53"/>
  <c r="B1043" i="53"/>
  <c r="B2701" i="53"/>
  <c r="W65" i="9"/>
  <c r="K45" i="24"/>
  <c r="L45" i="24" s="1"/>
  <c r="R45" i="24" s="1"/>
  <c r="M50" i="70"/>
  <c r="N50" i="70" s="1"/>
  <c r="B2181" i="53" s="1"/>
  <c r="R31" i="56"/>
  <c r="M13" i="70"/>
  <c r="N13" i="70" s="1"/>
  <c r="M61" i="56"/>
  <c r="N61" i="56" s="1"/>
  <c r="U61" i="56" s="1"/>
  <c r="O51" i="70"/>
  <c r="B2779" i="53" s="1"/>
  <c r="D2779" i="53" s="1"/>
  <c r="O15" i="70"/>
  <c r="B1060" i="53" s="1"/>
  <c r="B2702" i="53"/>
  <c r="AG51" i="70"/>
  <c r="B115" i="53" s="1"/>
  <c r="S6" i="70"/>
  <c r="B1210" i="53" s="1"/>
  <c r="D1210" i="53" s="1"/>
  <c r="O49" i="24"/>
  <c r="O29" i="56"/>
  <c r="T29" i="56" s="1"/>
  <c r="K36" i="24"/>
  <c r="L36" i="24" s="1"/>
  <c r="R36" i="24" s="1"/>
  <c r="P32" i="56"/>
  <c r="T32" i="56" s="1"/>
  <c r="R68" i="56"/>
  <c r="T68" i="56" s="1"/>
  <c r="AC68" i="56" s="1"/>
  <c r="AI68" i="56" s="1"/>
  <c r="AJ68" i="56" s="1"/>
  <c r="M23" i="24"/>
  <c r="R18" i="56"/>
  <c r="O78" i="56"/>
  <c r="T78" i="56" s="1"/>
  <c r="P49" i="24"/>
  <c r="O57" i="56"/>
  <c r="M14" i="24"/>
  <c r="Q65" i="56"/>
  <c r="S27" i="56"/>
  <c r="R79" i="56"/>
  <c r="I69" i="1"/>
  <c r="N69" i="1" s="1"/>
  <c r="P69" i="1" s="1"/>
  <c r="R67" i="56"/>
  <c r="T67" i="56" s="1"/>
  <c r="Q77" i="56"/>
  <c r="T77" i="56" s="1"/>
  <c r="S30" i="56"/>
  <c r="S47" i="56"/>
  <c r="P18" i="24"/>
  <c r="K23" i="24"/>
  <c r="L23" i="24" s="1"/>
  <c r="R23" i="24" s="1"/>
  <c r="O26" i="56"/>
  <c r="R10" i="70"/>
  <c r="I67" i="1"/>
  <c r="N67" i="1" s="1"/>
  <c r="P67" i="1" s="1"/>
  <c r="R41" i="70"/>
  <c r="B1982" i="53" s="1"/>
  <c r="P8" i="56"/>
  <c r="O6" i="56"/>
  <c r="T6" i="56" s="1"/>
  <c r="AC6" i="56" s="1"/>
  <c r="AI6" i="56" s="1"/>
  <c r="AJ6" i="56" s="1"/>
  <c r="AJ5" i="56" s="1"/>
  <c r="M30" i="24"/>
  <c r="R27" i="56"/>
  <c r="P42" i="56"/>
  <c r="T42" i="56" s="1"/>
  <c r="AC42" i="56" s="1"/>
  <c r="AC41" i="56" s="1"/>
  <c r="R28" i="56"/>
  <c r="P18" i="56"/>
  <c r="P79" i="56"/>
  <c r="O18" i="56"/>
  <c r="P73" i="56"/>
  <c r="I90" i="1"/>
  <c r="N90" i="1" s="1"/>
  <c r="P90" i="1" s="1"/>
  <c r="K14" i="24"/>
  <c r="L14" i="24" s="1"/>
  <c r="O11" i="56"/>
  <c r="R37" i="56"/>
  <c r="R13" i="70"/>
  <c r="B222" i="53" s="1"/>
  <c r="D222" i="53" s="1"/>
  <c r="I85" i="1"/>
  <c r="N85" i="1" s="1"/>
  <c r="Q7" i="56"/>
  <c r="M35" i="24"/>
  <c r="O9" i="56"/>
  <c r="R50" i="56"/>
  <c r="Q57" i="56"/>
  <c r="M44" i="56"/>
  <c r="N44" i="56" s="1"/>
  <c r="U44" i="56" s="1"/>
  <c r="O71" i="56"/>
  <c r="O41" i="24"/>
  <c r="Q41" i="24" s="1"/>
  <c r="I66" i="1"/>
  <c r="N66" i="1" s="1"/>
  <c r="M71" i="56"/>
  <c r="N71" i="56" s="1"/>
  <c r="U71" i="56" s="1"/>
  <c r="K8" i="24"/>
  <c r="L8" i="24" s="1"/>
  <c r="S73" i="56"/>
  <c r="O70" i="56"/>
  <c r="T70" i="56" s="1"/>
  <c r="R62" i="56"/>
  <c r="T62" i="56" s="1"/>
  <c r="AG40" i="70"/>
  <c r="B1934" i="53" s="1"/>
  <c r="I84" i="1"/>
  <c r="N84" i="1" s="1"/>
  <c r="Q8" i="56"/>
  <c r="O16" i="24"/>
  <c r="K16" i="24"/>
  <c r="L16" i="24" s="1"/>
  <c r="P27" i="24"/>
  <c r="R35" i="70"/>
  <c r="B1805" i="53" s="1"/>
  <c r="D1805" i="53" s="1"/>
  <c r="Q39" i="56"/>
  <c r="R43" i="56"/>
  <c r="T43" i="56" s="1"/>
  <c r="AC43" i="56" s="1"/>
  <c r="AI43" i="56" s="1"/>
  <c r="AJ43" i="56" s="1"/>
  <c r="P37" i="24"/>
  <c r="AG45" i="70"/>
  <c r="B2851" i="53" s="1"/>
  <c r="O44" i="70"/>
  <c r="B2629" i="53" s="1"/>
  <c r="AG15" i="70"/>
  <c r="B2762" i="53" s="1"/>
  <c r="Q55" i="56"/>
  <c r="T55" i="56" s="1"/>
  <c r="O60" i="56"/>
  <c r="O23" i="70"/>
  <c r="B364" i="53" s="1"/>
  <c r="D364" i="53" s="1"/>
  <c r="O39" i="56"/>
  <c r="M32" i="24"/>
  <c r="Q32" i="24" s="1"/>
  <c r="P26" i="56"/>
  <c r="M7" i="56"/>
  <c r="N7" i="56" s="1"/>
  <c r="R75" i="56"/>
  <c r="T75" i="56" s="1"/>
  <c r="AC75" i="56" s="1"/>
  <c r="AI75" i="56" s="1"/>
  <c r="AJ75" i="56" s="1"/>
  <c r="S8" i="56"/>
  <c r="R76" i="56"/>
  <c r="T76" i="56" s="1"/>
  <c r="N34" i="24"/>
  <c r="P8" i="24"/>
  <c r="AG52" i="70"/>
  <c r="B2941" i="53" s="1"/>
  <c r="AH45" i="70"/>
  <c r="B2852" i="53" s="1"/>
  <c r="O52" i="70"/>
  <c r="B2928" i="53" s="1"/>
  <c r="D2928" i="53" s="1"/>
  <c r="S44" i="70"/>
  <c r="I86" i="1"/>
  <c r="N86" i="1" s="1"/>
  <c r="R50" i="70"/>
  <c r="B2185" i="53" s="1"/>
  <c r="D2185" i="53" s="1"/>
  <c r="S16" i="70"/>
  <c r="B2012" i="53" s="1"/>
  <c r="D2012" i="53" s="1"/>
  <c r="O32" i="70"/>
  <c r="B1563" i="53" s="1"/>
  <c r="D1563" i="53" s="1"/>
  <c r="R52" i="56"/>
  <c r="K30" i="24"/>
  <c r="L30" i="24" s="1"/>
  <c r="AH19" i="70"/>
  <c r="S51" i="70"/>
  <c r="B1180" i="53" s="1"/>
  <c r="D1180" i="53" s="1"/>
  <c r="S15" i="70"/>
  <c r="B1064" i="53" s="1"/>
  <c r="O14" i="70"/>
  <c r="B14" i="53" s="1"/>
  <c r="D14" i="53" s="1"/>
  <c r="R44" i="70"/>
  <c r="B2632" i="53" s="1"/>
  <c r="AH26" i="70"/>
  <c r="B465" i="53" s="1"/>
  <c r="AH16" i="70"/>
  <c r="B929" i="53" s="1"/>
  <c r="R39" i="70"/>
  <c r="B831" i="53" s="1"/>
  <c r="D831" i="53" s="1"/>
  <c r="M8" i="70"/>
  <c r="N8" i="70" s="1"/>
  <c r="O48" i="56"/>
  <c r="M35" i="70"/>
  <c r="N35" i="70" s="1"/>
  <c r="B1771" i="53" s="1"/>
  <c r="M17" i="70"/>
  <c r="B1650" i="53" s="1"/>
  <c r="S38" i="56"/>
  <c r="O50" i="70"/>
  <c r="B2569" i="53" s="1"/>
  <c r="M42" i="70"/>
  <c r="B1889" i="53" s="1"/>
  <c r="K24" i="24"/>
  <c r="L24" i="24" s="1"/>
  <c r="R24" i="24" s="1"/>
  <c r="AH44" i="70"/>
  <c r="B2613" i="53" s="1"/>
  <c r="K44" i="24"/>
  <c r="L44" i="24" s="1"/>
  <c r="R44" i="24" s="1"/>
  <c r="R14" i="70"/>
  <c r="B2662" i="53" s="1"/>
  <c r="D2662" i="53" s="1"/>
  <c r="AH14" i="70"/>
  <c r="AH52" i="70"/>
  <c r="B2942" i="53" s="1"/>
  <c r="AH23" i="70"/>
  <c r="B378" i="53" s="1"/>
  <c r="AH27" i="70"/>
  <c r="B494" i="53" s="1"/>
  <c r="AH37" i="70"/>
  <c r="B1876" i="53" s="1"/>
  <c r="AH10" i="70"/>
  <c r="AH17" i="70"/>
  <c r="B1666" i="53" s="1"/>
  <c r="AH11" i="70"/>
  <c r="B175" i="53" s="1"/>
  <c r="I87" i="1"/>
  <c r="N87" i="1" s="1"/>
  <c r="M34" i="56"/>
  <c r="N34" i="56" s="1"/>
  <c r="U34" i="56" s="1"/>
  <c r="AH48" i="70"/>
  <c r="B2138" i="53" s="1"/>
  <c r="M12" i="70"/>
  <c r="B188" i="53" s="1"/>
  <c r="O61" i="56"/>
  <c r="M43" i="70"/>
  <c r="N43" i="70" s="1"/>
  <c r="B2359" i="53" s="1"/>
  <c r="AH33" i="70"/>
  <c r="B1607" i="53" s="1"/>
  <c r="R51" i="70"/>
  <c r="B2812" i="53" s="1"/>
  <c r="D2812" i="53" s="1"/>
  <c r="R15" i="70"/>
  <c r="B1150" i="53" s="1"/>
  <c r="R52" i="70"/>
  <c r="B1121" i="53" s="1"/>
  <c r="B27" i="53"/>
  <c r="J61" i="54"/>
  <c r="J67" i="54" s="1"/>
  <c r="AB7" i="70"/>
  <c r="B54" i="53" s="1"/>
  <c r="AB12" i="70"/>
  <c r="B201" i="53" s="1"/>
  <c r="AB11" i="70"/>
  <c r="B172" i="53" s="1"/>
  <c r="AB30" i="70"/>
  <c r="B578" i="53" s="1"/>
  <c r="AB26" i="70"/>
  <c r="B462" i="53" s="1"/>
  <c r="AB22" i="70"/>
  <c r="B346" i="53" s="1"/>
  <c r="AB16" i="70"/>
  <c r="B2222" i="53" s="1"/>
  <c r="AB36" i="70"/>
  <c r="B781" i="53" s="1"/>
  <c r="AB43" i="70"/>
  <c r="B2401" i="53" s="1"/>
  <c r="AB15" i="70"/>
  <c r="B2760" i="53" s="1"/>
  <c r="Z27" i="24"/>
  <c r="AB39" i="70"/>
  <c r="AB33" i="70"/>
  <c r="B1634" i="53" s="1"/>
  <c r="AB14" i="70"/>
  <c r="B2670" i="53" s="1"/>
  <c r="AB6" i="70"/>
  <c r="AB19" i="70"/>
  <c r="B259" i="53" s="1"/>
  <c r="AB51" i="70"/>
  <c r="B1187" i="53" s="1"/>
  <c r="AG25" i="56"/>
  <c r="AG24" i="56" s="1"/>
  <c r="AG80" i="56" s="1"/>
  <c r="Z41" i="24"/>
  <c r="AG45" i="56"/>
  <c r="Z30" i="24"/>
  <c r="AG52" i="56"/>
  <c r="AB34" i="70"/>
  <c r="B723" i="53" s="1"/>
  <c r="B83" i="53"/>
  <c r="AB17" i="70"/>
  <c r="B694" i="53" s="1"/>
  <c r="AB37" i="70"/>
  <c r="B810" i="53" s="1"/>
  <c r="AB13" i="70"/>
  <c r="B230" i="53" s="1"/>
  <c r="AB31" i="70"/>
  <c r="B607" i="53" s="1"/>
  <c r="AB9" i="70"/>
  <c r="B113" i="53" s="1"/>
  <c r="B1574" i="53"/>
  <c r="B636" i="53"/>
  <c r="B1783" i="53"/>
  <c r="B2640" i="53"/>
  <c r="B549" i="53"/>
  <c r="B1336" i="53"/>
  <c r="Z17" i="24"/>
  <c r="Z52" i="24" s="1"/>
  <c r="AB50" i="70"/>
  <c r="B2580" i="53" s="1"/>
  <c r="AB48" i="70"/>
  <c r="B1961" i="53"/>
  <c r="B2048" i="53"/>
  <c r="B2252" i="53"/>
  <c r="B1902" i="53"/>
  <c r="B955" i="53"/>
  <c r="B2282" i="53"/>
  <c r="B288" i="53"/>
  <c r="B520" i="53"/>
  <c r="B1276" i="53"/>
  <c r="B1306" i="53"/>
  <c r="AB49" i="70"/>
  <c r="B868" i="53"/>
  <c r="B1990" i="53"/>
  <c r="B1813" i="53"/>
  <c r="AJ44" i="25"/>
  <c r="AM44" i="25" s="1"/>
  <c r="AK44" i="25"/>
  <c r="AN44" i="25" s="1"/>
  <c r="O37" i="70"/>
  <c r="B799" i="53" s="1"/>
  <c r="D799" i="53" s="1"/>
  <c r="P74" i="1"/>
  <c r="D161" i="53"/>
  <c r="P68" i="1"/>
  <c r="B1176" i="53"/>
  <c r="D1176" i="53" s="1"/>
  <c r="AK8" i="25"/>
  <c r="AN8" i="25" s="1"/>
  <c r="AK10" i="25"/>
  <c r="AN10" i="25" s="1"/>
  <c r="AK36" i="25"/>
  <c r="AN36" i="25" s="1"/>
  <c r="AP36" i="25" s="1"/>
  <c r="X36" i="70" s="1"/>
  <c r="AK34" i="25"/>
  <c r="AN34" i="25" s="1"/>
  <c r="AK37" i="25"/>
  <c r="AN37" i="25" s="1"/>
  <c r="AP37" i="25" s="1"/>
  <c r="X37" i="70" s="1"/>
  <c r="AK24" i="25"/>
  <c r="AN24" i="25" s="1"/>
  <c r="AJ27" i="25"/>
  <c r="AM27" i="25" s="1"/>
  <c r="M52" i="56"/>
  <c r="N52" i="56" s="1"/>
  <c r="U52" i="56" s="1"/>
  <c r="BT40" i="17"/>
  <c r="BS40" i="17" s="1"/>
  <c r="P40" i="70" s="1"/>
  <c r="B1922" i="53" s="1"/>
  <c r="D1922" i="53" s="1"/>
  <c r="AK14" i="25"/>
  <c r="AN14" i="25" s="1"/>
  <c r="S32" i="70"/>
  <c r="B1508" i="53" s="1"/>
  <c r="D1508" i="53" s="1"/>
  <c r="BU32" i="17"/>
  <c r="M37" i="70"/>
  <c r="B797" i="53" s="1"/>
  <c r="BT10" i="17"/>
  <c r="BS10" i="17" s="1"/>
  <c r="P10" i="70" s="1"/>
  <c r="BT42" i="17"/>
  <c r="Q42" i="70" s="1"/>
  <c r="B946" i="53" s="1"/>
  <c r="D946" i="53" s="1"/>
  <c r="BT49" i="17"/>
  <c r="Q49" i="70" s="1"/>
  <c r="B2155" i="53" s="1"/>
  <c r="BT41" i="17"/>
  <c r="Q53" i="56" s="1"/>
  <c r="BT48" i="17"/>
  <c r="BS48" i="17" s="1"/>
  <c r="P10" i="56" s="1"/>
  <c r="BT7" i="17"/>
  <c r="BS7" i="17" s="1"/>
  <c r="BU23" i="17"/>
  <c r="D455" i="53"/>
  <c r="M41" i="70"/>
  <c r="B1977" i="53" s="1"/>
  <c r="AJ51" i="25"/>
  <c r="AM51" i="25" s="1"/>
  <c r="B2567" i="53"/>
  <c r="AJ13" i="25"/>
  <c r="AM13" i="25" s="1"/>
  <c r="AJ33" i="25"/>
  <c r="AM33" i="25" s="1"/>
  <c r="I89" i="1"/>
  <c r="N89" i="1" s="1"/>
  <c r="M48" i="56"/>
  <c r="N48" i="56" s="1"/>
  <c r="AK35" i="25"/>
  <c r="AN35" i="25" s="1"/>
  <c r="AJ35" i="25"/>
  <c r="AM35" i="25" s="1"/>
  <c r="AK41" i="25"/>
  <c r="AN41" i="25" s="1"/>
  <c r="AK51" i="25"/>
  <c r="AN51" i="25" s="1"/>
  <c r="S31" i="70"/>
  <c r="B600" i="53" s="1"/>
  <c r="K37" i="24"/>
  <c r="L37" i="24" s="1"/>
  <c r="R37" i="24" s="1"/>
  <c r="I94" i="1"/>
  <c r="N94" i="1" s="1"/>
  <c r="AJ10" i="25"/>
  <c r="AM10" i="25" s="1"/>
  <c r="AJ34" i="25"/>
  <c r="AM34" i="25" s="1"/>
  <c r="AK27" i="25"/>
  <c r="AN27" i="25" s="1"/>
  <c r="AJ14" i="25"/>
  <c r="AM14" i="25" s="1"/>
  <c r="M28" i="70"/>
  <c r="N28" i="70" s="1"/>
  <c r="B508" i="53" s="1"/>
  <c r="S52" i="56"/>
  <c r="BT19" i="17"/>
  <c r="Q19" i="70" s="1"/>
  <c r="B250" i="53" s="1"/>
  <c r="D250" i="53" s="1"/>
  <c r="AJ24" i="25"/>
  <c r="AM24" i="25" s="1"/>
  <c r="AJ50" i="25"/>
  <c r="AM50" i="25" s="1"/>
  <c r="S36" i="70"/>
  <c r="B774" i="53" s="1"/>
  <c r="BT50" i="17"/>
  <c r="Q50" i="70" s="1"/>
  <c r="B2571" i="53" s="1"/>
  <c r="D3107" i="53"/>
  <c r="S41" i="70"/>
  <c r="B890" i="53" s="1"/>
  <c r="M7" i="70"/>
  <c r="AJ41" i="25"/>
  <c r="AM41" i="25" s="1"/>
  <c r="K40" i="24"/>
  <c r="L40" i="24" s="1"/>
  <c r="D3109" i="53"/>
  <c r="B683" i="53"/>
  <c r="D683" i="53" s="1"/>
  <c r="AK33" i="25"/>
  <c r="AN33" i="25" s="1"/>
  <c r="AJ23" i="25"/>
  <c r="AM23" i="25" s="1"/>
  <c r="M59" i="56"/>
  <c r="N59" i="56" s="1"/>
  <c r="U59" i="56" s="1"/>
  <c r="S7" i="70"/>
  <c r="I95" i="1"/>
  <c r="N95" i="1" s="1"/>
  <c r="S48" i="56"/>
  <c r="S17" i="70"/>
  <c r="B687" i="53" s="1"/>
  <c r="D687" i="53" s="1"/>
  <c r="M53" i="56"/>
  <c r="N53" i="56" s="1"/>
  <c r="U53" i="56" s="1"/>
  <c r="S53" i="56"/>
  <c r="B1295" i="53"/>
  <c r="B1652" i="53"/>
  <c r="D542" i="53"/>
  <c r="D2128" i="53"/>
  <c r="BU44" i="17"/>
  <c r="BU40" i="17"/>
  <c r="B1835" i="53"/>
  <c r="D1835" i="53" s="1"/>
  <c r="D309" i="53"/>
  <c r="S28" i="70"/>
  <c r="B513" i="53" s="1"/>
  <c r="BU25" i="17"/>
  <c r="D3110" i="53"/>
  <c r="B2687" i="53"/>
  <c r="S39" i="70"/>
  <c r="B832" i="53" s="1"/>
  <c r="D832" i="53" s="1"/>
  <c r="S59" i="56"/>
  <c r="D1209" i="53"/>
  <c r="B1248" i="53"/>
  <c r="B599" i="53"/>
  <c r="D2332" i="53"/>
  <c r="D3020" i="53"/>
  <c r="AK31" i="25"/>
  <c r="AN31" i="25" s="1"/>
  <c r="AJ31" i="25"/>
  <c r="AM31" i="25" s="1"/>
  <c r="AK30" i="25"/>
  <c r="AN30" i="25" s="1"/>
  <c r="AJ30" i="25"/>
  <c r="AM30" i="25" s="1"/>
  <c r="M33" i="70"/>
  <c r="B1621" i="53" s="1"/>
  <c r="AK32" i="25"/>
  <c r="AN32" i="25" s="1"/>
  <c r="AJ32" i="25"/>
  <c r="AM32" i="25" s="1"/>
  <c r="AJ28" i="25"/>
  <c r="AM28" i="25" s="1"/>
  <c r="AK28" i="25"/>
  <c r="AN28" i="25" s="1"/>
  <c r="M30" i="70"/>
  <c r="B565" i="53" s="1"/>
  <c r="AJ29" i="25"/>
  <c r="AM29" i="25" s="1"/>
  <c r="AK29" i="25"/>
  <c r="AN29" i="25" s="1"/>
  <c r="B2241" i="53"/>
  <c r="D2241" i="53" s="1"/>
  <c r="B802" i="53"/>
  <c r="D802" i="53" s="1"/>
  <c r="B1715" i="53"/>
  <c r="D1715" i="53" s="1"/>
  <c r="B1924" i="53"/>
  <c r="D1924" i="53" s="1"/>
  <c r="B657" i="53"/>
  <c r="D657" i="53" s="1"/>
  <c r="BT28" i="17"/>
  <c r="O44" i="24" s="1"/>
  <c r="B1265" i="53"/>
  <c r="B1596" i="53"/>
  <c r="D1596" i="53" s="1"/>
  <c r="B567" i="53"/>
  <c r="D567" i="53" s="1"/>
  <c r="B658" i="53"/>
  <c r="D658" i="53" s="1"/>
  <c r="B1725" i="53"/>
  <c r="B1384" i="53"/>
  <c r="D1384" i="53" s="1"/>
  <c r="D3111" i="53"/>
  <c r="D2211" i="53"/>
  <c r="B2284" i="53"/>
  <c r="B522" i="53"/>
  <c r="S37" i="56"/>
  <c r="D2304" i="53"/>
  <c r="B1268" i="53"/>
  <c r="AK13" i="25"/>
  <c r="AN13" i="25" s="1"/>
  <c r="AK50" i="25"/>
  <c r="AN50" i="25" s="1"/>
  <c r="D2663" i="53"/>
  <c r="B1875" i="53"/>
  <c r="B2462" i="53"/>
  <c r="S20" i="70"/>
  <c r="B281" i="53" s="1"/>
  <c r="D281" i="53" s="1"/>
  <c r="D1414" i="53"/>
  <c r="D3047" i="53"/>
  <c r="B512" i="53"/>
  <c r="B1308" i="53"/>
  <c r="AK23" i="25"/>
  <c r="AN23" i="25" s="1"/>
  <c r="S12" i="70"/>
  <c r="B194" i="53" s="1"/>
  <c r="D194" i="53" s="1"/>
  <c r="D252" i="53"/>
  <c r="D422" i="53"/>
  <c r="D2302" i="53"/>
  <c r="AK39" i="25"/>
  <c r="AN39" i="25" s="1"/>
  <c r="M39" i="70"/>
  <c r="N39" i="70" s="1"/>
  <c r="AJ39" i="25"/>
  <c r="AM39" i="25" s="1"/>
  <c r="D277" i="53"/>
  <c r="AP25" i="25"/>
  <c r="T27" i="24" s="1"/>
  <c r="B2021" i="53"/>
  <c r="B2492" i="53"/>
  <c r="D368" i="53"/>
  <c r="S45" i="56"/>
  <c r="BU9" i="17"/>
  <c r="BT12" i="17"/>
  <c r="Q12" i="70" s="1"/>
  <c r="B192" i="53" s="1"/>
  <c r="D192" i="53" s="1"/>
  <c r="BU17" i="17"/>
  <c r="BT43" i="17"/>
  <c r="BT39" i="17"/>
  <c r="BT31" i="17"/>
  <c r="BU24" i="17"/>
  <c r="BT44" i="17"/>
  <c r="Q44" i="70" s="1"/>
  <c r="B2631" i="53" s="1"/>
  <c r="BT20" i="17"/>
  <c r="BS20" i="17" s="1"/>
  <c r="P20" i="70" s="1"/>
  <c r="B278" i="53" s="1"/>
  <c r="D278" i="53" s="1"/>
  <c r="BU33" i="17"/>
  <c r="D3017" i="53"/>
  <c r="B2373" i="53"/>
  <c r="D570" i="53"/>
  <c r="Q25" i="24"/>
  <c r="BU7" i="17"/>
  <c r="BT21" i="17"/>
  <c r="BS21" i="17" s="1"/>
  <c r="P21" i="70" s="1"/>
  <c r="B307" i="53" s="1"/>
  <c r="D307" i="53" s="1"/>
  <c r="BU11" i="17"/>
  <c r="BU42" i="17"/>
  <c r="BT8" i="17"/>
  <c r="Q8" i="70" s="1"/>
  <c r="BU8" i="17"/>
  <c r="BT23" i="17"/>
  <c r="Q40" i="56" s="1"/>
  <c r="BT26" i="17"/>
  <c r="O43" i="24" s="1"/>
  <c r="BU20" i="17"/>
  <c r="BU35" i="17"/>
  <c r="D3051" i="53"/>
  <c r="B1358" i="53"/>
  <c r="D1358" i="53" s="1"/>
  <c r="B2522" i="53"/>
  <c r="D3049" i="53"/>
  <c r="B1329" i="53"/>
  <c r="D1329" i="53" s="1"/>
  <c r="B1418" i="53"/>
  <c r="D1418" i="53" s="1"/>
  <c r="B1576" i="53"/>
  <c r="B1627" i="53"/>
  <c r="D1627" i="53" s="1"/>
  <c r="O26" i="24"/>
  <c r="B928" i="53"/>
  <c r="BS25" i="17"/>
  <c r="N27" i="24" s="1"/>
  <c r="M49" i="70"/>
  <c r="B2477" i="53" s="1"/>
  <c r="M45" i="56"/>
  <c r="N45" i="56" s="1"/>
  <c r="U45" i="56" s="1"/>
  <c r="D280" i="53"/>
  <c r="BU31" i="17"/>
  <c r="BU36" i="17"/>
  <c r="BT27" i="17"/>
  <c r="Q27" i="70" s="1"/>
  <c r="B482" i="53" s="1"/>
  <c r="D482" i="53" s="1"/>
  <c r="BU26" i="17"/>
  <c r="BT13" i="17"/>
  <c r="Q60" i="56" s="1"/>
  <c r="BT37" i="17"/>
  <c r="BS37" i="17" s="1"/>
  <c r="P61" i="56" s="1"/>
  <c r="AK7" i="25"/>
  <c r="AN7" i="25" s="1"/>
  <c r="AJ7" i="25"/>
  <c r="AM7" i="25" s="1"/>
  <c r="D3079" i="53"/>
  <c r="D3077" i="53"/>
  <c r="B1517" i="53"/>
  <c r="B1921" i="53"/>
  <c r="D1921" i="53" s="1"/>
  <c r="B1755" i="53"/>
  <c r="S72" i="56"/>
  <c r="S37" i="70"/>
  <c r="B803" i="53" s="1"/>
  <c r="D803" i="53" s="1"/>
  <c r="B715" i="53"/>
  <c r="D715" i="53" s="1"/>
  <c r="D1682" i="53"/>
  <c r="D338" i="53"/>
  <c r="D3081" i="53"/>
  <c r="S61" i="56"/>
  <c r="M29" i="70"/>
  <c r="B1323" i="53" s="1"/>
  <c r="D2303" i="53"/>
  <c r="D2069" i="53"/>
  <c r="D219" i="53"/>
  <c r="M60" i="56"/>
  <c r="N60" i="56" s="1"/>
  <c r="S46" i="56"/>
  <c r="BT51" i="17"/>
  <c r="D3018" i="53"/>
  <c r="D2066" i="53"/>
  <c r="AJ16" i="25"/>
  <c r="AM16" i="25" s="1"/>
  <c r="AP16" i="25" s="1"/>
  <c r="X15" i="70" s="1"/>
  <c r="S40" i="70"/>
  <c r="B861" i="53" s="1"/>
  <c r="D861" i="53" s="1"/>
  <c r="D3078" i="53"/>
  <c r="B2244" i="53"/>
  <c r="D2244" i="53" s="1"/>
  <c r="D335" i="53"/>
  <c r="D3080" i="53"/>
  <c r="D3019" i="53"/>
  <c r="B1953" i="53"/>
  <c r="D1953" i="53" s="1"/>
  <c r="B2693" i="53"/>
  <c r="D2693" i="53" s="1"/>
  <c r="B2156" i="53"/>
  <c r="B1238" i="53"/>
  <c r="D1238" i="53" s="1"/>
  <c r="D339" i="53"/>
  <c r="S21" i="70"/>
  <c r="B310" i="53" s="1"/>
  <c r="D310" i="53" s="1"/>
  <c r="B947" i="53"/>
  <c r="D947" i="53" s="1"/>
  <c r="M36" i="70"/>
  <c r="B1830" i="53" s="1"/>
  <c r="K27" i="24"/>
  <c r="L27" i="24" s="1"/>
  <c r="R27" i="24" s="1"/>
  <c r="D480" i="53"/>
  <c r="D483" i="53"/>
  <c r="D3108" i="53"/>
  <c r="B1894" i="53"/>
  <c r="D1894" i="53" s="1"/>
  <c r="B2390" i="53"/>
  <c r="D2390" i="53" s="1"/>
  <c r="B571" i="53"/>
  <c r="D571" i="53" s="1"/>
  <c r="S8" i="70"/>
  <c r="M32" i="70"/>
  <c r="B1502" i="53" s="1"/>
  <c r="M31" i="70"/>
  <c r="B594" i="53" s="1"/>
  <c r="D1865" i="53"/>
  <c r="I79" i="1"/>
  <c r="N79" i="1" s="1"/>
  <c r="AJ19" i="25"/>
  <c r="AM19" i="25" s="1"/>
  <c r="Q39" i="24"/>
  <c r="Y39" i="24" s="1"/>
  <c r="AB39" i="24" s="1"/>
  <c r="AC39" i="24" s="1"/>
  <c r="M46" i="56"/>
  <c r="N46" i="56" s="1"/>
  <c r="U46" i="56" s="1"/>
  <c r="K38" i="24"/>
  <c r="L38" i="24" s="1"/>
  <c r="R38" i="24" s="1"/>
  <c r="AK40" i="25"/>
  <c r="AN40" i="25" s="1"/>
  <c r="B551" i="53"/>
  <c r="B1367" i="53"/>
  <c r="L15" i="24"/>
  <c r="B1566" i="53"/>
  <c r="D1566" i="53" s="1"/>
  <c r="B1507" i="53"/>
  <c r="D1507" i="53" s="1"/>
  <c r="M16" i="70"/>
  <c r="N16" i="70" s="1"/>
  <c r="B2210" i="53" s="1"/>
  <c r="M72" i="56"/>
  <c r="N72" i="56" s="1"/>
  <c r="AK42" i="25"/>
  <c r="AN42" i="25" s="1"/>
  <c r="AP42" i="25" s="1"/>
  <c r="X16" i="70" s="1"/>
  <c r="AK19" i="25"/>
  <c r="AN19" i="25" s="1"/>
  <c r="N13" i="56"/>
  <c r="M23" i="70"/>
  <c r="N23" i="70" s="1"/>
  <c r="M20" i="70"/>
  <c r="N20" i="70" s="1"/>
  <c r="B712" i="53"/>
  <c r="D712" i="53" s="1"/>
  <c r="B2095" i="53"/>
  <c r="D2095" i="53" s="1"/>
  <c r="AK22" i="25"/>
  <c r="AN22" i="25" s="1"/>
  <c r="M37" i="56"/>
  <c r="N37" i="56" s="1"/>
  <c r="N19" i="70"/>
  <c r="B2041" i="53"/>
  <c r="D2041" i="53" s="1"/>
  <c r="B2275" i="53"/>
  <c r="D2275" i="53" s="1"/>
  <c r="B2422" i="53"/>
  <c r="D2422" i="53" s="1"/>
  <c r="B2452" i="53"/>
  <c r="D2452" i="53" s="1"/>
  <c r="B2127" i="53"/>
  <c r="D2127" i="53" s="1"/>
  <c r="B1979" i="53"/>
  <c r="B886" i="53"/>
  <c r="D2040" i="53"/>
  <c r="BU51" i="17"/>
  <c r="BT45" i="17"/>
  <c r="Q45" i="70" s="1"/>
  <c r="BU52" i="17"/>
  <c r="AJ21" i="17"/>
  <c r="I80" i="1" s="1"/>
  <c r="N80" i="1" s="1"/>
  <c r="M24" i="70"/>
  <c r="B391" i="53" s="1"/>
  <c r="S24" i="70"/>
  <c r="B397" i="53" s="1"/>
  <c r="S31" i="56"/>
  <c r="S13" i="70"/>
  <c r="B223" i="53" s="1"/>
  <c r="D223" i="53" s="1"/>
  <c r="I76" i="1"/>
  <c r="N76" i="1" s="1"/>
  <c r="D248" i="53"/>
  <c r="S60" i="56"/>
  <c r="AJ45" i="17"/>
  <c r="AJ46" i="25" s="1"/>
  <c r="AM46" i="25" s="1"/>
  <c r="M51" i="70"/>
  <c r="B2807" i="53" s="1"/>
  <c r="AK52" i="25"/>
  <c r="AN52" i="25" s="1"/>
  <c r="B754" i="53"/>
  <c r="B1815" i="53"/>
  <c r="B1695" i="53"/>
  <c r="B696" i="53"/>
  <c r="B2419" i="53"/>
  <c r="D2419" i="53" s="1"/>
  <c r="B2124" i="53"/>
  <c r="D2124" i="53" s="1"/>
  <c r="N27" i="70"/>
  <c r="B479" i="53" s="1"/>
  <c r="B478" i="53"/>
  <c r="B973" i="53"/>
  <c r="D973" i="53" s="1"/>
  <c r="M15" i="70"/>
  <c r="B1058" i="53" s="1"/>
  <c r="B1665" i="53"/>
  <c r="B2008" i="53"/>
  <c r="D2008" i="53" s="1"/>
  <c r="B915" i="53"/>
  <c r="D915" i="53" s="1"/>
  <c r="I93" i="1"/>
  <c r="N93" i="1" s="1"/>
  <c r="K43" i="24"/>
  <c r="L43" i="24" s="1"/>
  <c r="R43" i="24" s="1"/>
  <c r="M26" i="70"/>
  <c r="B1444" i="53"/>
  <c r="B596" i="53"/>
  <c r="B2274" i="53"/>
  <c r="D2274" i="53" s="1"/>
  <c r="B1002" i="53"/>
  <c r="D1002" i="53" s="1"/>
  <c r="B1742" i="53"/>
  <c r="D1742" i="53" s="1"/>
  <c r="B2482" i="53"/>
  <c r="Q11" i="24"/>
  <c r="Y11" i="24" s="1"/>
  <c r="Y10" i="24" s="1"/>
  <c r="B1006" i="53"/>
  <c r="D1006" i="53" s="1"/>
  <c r="B1035" i="53"/>
  <c r="D1035" i="53" s="1"/>
  <c r="BS35" i="17"/>
  <c r="P35" i="70" s="1"/>
  <c r="B742" i="53" s="1"/>
  <c r="D742" i="53" s="1"/>
  <c r="B1992" i="53"/>
  <c r="B159" i="53"/>
  <c r="N11" i="70"/>
  <c r="B160" i="53" s="1"/>
  <c r="Q25" i="70"/>
  <c r="B424" i="53" s="1"/>
  <c r="D424" i="53" s="1"/>
  <c r="O27" i="24"/>
  <c r="B1387" i="53"/>
  <c r="D1387" i="53" s="1"/>
  <c r="B2449" i="53"/>
  <c r="D2449" i="53" s="1"/>
  <c r="N23" i="56"/>
  <c r="B986" i="53"/>
  <c r="B2403" i="53"/>
  <c r="B784" i="53"/>
  <c r="K21" i="24"/>
  <c r="L21" i="24" s="1"/>
  <c r="R21" i="24" s="1"/>
  <c r="M28" i="56"/>
  <c r="N28" i="56" s="1"/>
  <c r="U28" i="56" s="1"/>
  <c r="B1417" i="53"/>
  <c r="D1417" i="53" s="1"/>
  <c r="B741" i="53"/>
  <c r="D741" i="53" s="1"/>
  <c r="B1772" i="53"/>
  <c r="D1772" i="53" s="1"/>
  <c r="B1950" i="53"/>
  <c r="D1950" i="53" s="1"/>
  <c r="B1891" i="53"/>
  <c r="D1891" i="53" s="1"/>
  <c r="B944" i="53"/>
  <c r="D944" i="53" s="1"/>
  <c r="B2037" i="53"/>
  <c r="D2037" i="53" s="1"/>
  <c r="B1593" i="53"/>
  <c r="D1593" i="53" s="1"/>
  <c r="B654" i="53"/>
  <c r="D654" i="53" s="1"/>
  <c r="B783" i="53"/>
  <c r="B1845" i="53"/>
  <c r="B1015" i="53"/>
  <c r="B2432" i="53"/>
  <c r="B2509" i="53"/>
  <c r="B2479" i="53"/>
  <c r="B2153" i="53"/>
  <c r="B2214" i="53"/>
  <c r="D2214" i="53" s="1"/>
  <c r="B918" i="53"/>
  <c r="D918" i="53" s="1"/>
  <c r="B2011" i="53"/>
  <c r="D2011" i="53" s="1"/>
  <c r="M25" i="70"/>
  <c r="BS12" i="17"/>
  <c r="P12" i="70" s="1"/>
  <c r="B191" i="53" s="1"/>
  <c r="D191" i="53" s="1"/>
  <c r="S25" i="70"/>
  <c r="B426" i="53" s="1"/>
  <c r="D426" i="53" s="1"/>
  <c r="S34" i="56"/>
  <c r="T65" i="56"/>
  <c r="AC65" i="56" s="1"/>
  <c r="AI65" i="56" s="1"/>
  <c r="AJ65" i="56" s="1"/>
  <c r="T47" i="56"/>
  <c r="T56" i="56"/>
  <c r="Q18" i="24"/>
  <c r="T63" i="56"/>
  <c r="AC63" i="56" s="1"/>
  <c r="AI63" i="56" s="1"/>
  <c r="AJ63" i="56" s="1"/>
  <c r="T17" i="56"/>
  <c r="AC17" i="56" s="1"/>
  <c r="AI17" i="56" s="1"/>
  <c r="AJ17" i="56" s="1"/>
  <c r="BU45" i="17"/>
  <c r="BT52" i="17"/>
  <c r="Q52" i="70" s="1"/>
  <c r="B2900" i="53" s="1"/>
  <c r="D1005" i="53"/>
  <c r="AP18" i="25"/>
  <c r="X19" i="70" s="1"/>
  <c r="Z19" i="70" s="1"/>
  <c r="T35" i="56"/>
  <c r="T66" i="56"/>
  <c r="T54" i="56"/>
  <c r="S27" i="70"/>
  <c r="B484" i="53" s="1"/>
  <c r="D484" i="53" s="1"/>
  <c r="B1964" i="53"/>
  <c r="B1905" i="53"/>
  <c r="B2051" i="53"/>
  <c r="B2285" i="53"/>
  <c r="B2255" i="53"/>
  <c r="B958" i="53"/>
  <c r="BS32" i="17"/>
  <c r="Q32" i="70"/>
  <c r="B1565" i="53" s="1"/>
  <c r="D1565" i="53" s="1"/>
  <c r="B1427" i="53"/>
  <c r="B580" i="53"/>
  <c r="B1397" i="53"/>
  <c r="L48" i="24"/>
  <c r="R48" i="24" s="1"/>
  <c r="Q48" i="24"/>
  <c r="Q30" i="70"/>
  <c r="B1386" i="53" s="1"/>
  <c r="D1386" i="53" s="1"/>
  <c r="BS30" i="17"/>
  <c r="L35" i="24"/>
  <c r="R35" i="24" s="1"/>
  <c r="Q35" i="24"/>
  <c r="I58" i="1"/>
  <c r="N58" i="1" s="1"/>
  <c r="P58" i="1" s="1"/>
  <c r="AJ49" i="25"/>
  <c r="AM49" i="25" s="1"/>
  <c r="M48" i="70"/>
  <c r="M10" i="56"/>
  <c r="K9" i="24"/>
  <c r="L9" i="24" s="1"/>
  <c r="AK49" i="25"/>
  <c r="AN49" i="25" s="1"/>
  <c r="B948" i="53"/>
  <c r="D948" i="53" s="1"/>
  <c r="B1895" i="53"/>
  <c r="D1895" i="53" s="1"/>
  <c r="B2245" i="53"/>
  <c r="D2245" i="53" s="1"/>
  <c r="B1206" i="53"/>
  <c r="D1206" i="53" s="1"/>
  <c r="B1235" i="53"/>
  <c r="D1235" i="53" s="1"/>
  <c r="N16" i="56"/>
  <c r="T16" i="56"/>
  <c r="AC16" i="56" s="1"/>
  <c r="AC15" i="56" s="1"/>
  <c r="L46" i="24"/>
  <c r="R46" i="24" s="1"/>
  <c r="Q46" i="24"/>
  <c r="AP11" i="25"/>
  <c r="T42" i="24" s="1"/>
  <c r="AP9" i="25"/>
  <c r="B726" i="53"/>
  <c r="B1726" i="53"/>
  <c r="B1756" i="53"/>
  <c r="O40" i="24"/>
  <c r="Q7" i="70"/>
  <c r="Q48" i="56"/>
  <c r="N8" i="56"/>
  <c r="B261" i="53"/>
  <c r="L19" i="24"/>
  <c r="B667" i="53"/>
  <c r="B1606" i="53"/>
  <c r="B1636" i="53"/>
  <c r="B1208" i="53"/>
  <c r="D1208" i="53" s="1"/>
  <c r="N32" i="56"/>
  <c r="U32" i="56" s="1"/>
  <c r="N77" i="56"/>
  <c r="U77" i="56" s="1"/>
  <c r="B2098" i="53"/>
  <c r="D2098" i="53" s="1"/>
  <c r="B2393" i="53"/>
  <c r="D2393" i="53" s="1"/>
  <c r="B976" i="53"/>
  <c r="D976" i="53" s="1"/>
  <c r="B2363" i="53"/>
  <c r="D2363" i="53" s="1"/>
  <c r="T44" i="56"/>
  <c r="B1577" i="53"/>
  <c r="B639" i="53"/>
  <c r="M34" i="70"/>
  <c r="BS50" i="17"/>
  <c r="B609" i="53"/>
  <c r="B1487" i="53"/>
  <c r="B856" i="53"/>
  <c r="B1029" i="53"/>
  <c r="AJ52" i="25"/>
  <c r="AM52" i="25" s="1"/>
  <c r="AP12" i="25"/>
  <c r="X11" i="70" s="1"/>
  <c r="B169" i="53" s="1"/>
  <c r="AP15" i="25"/>
  <c r="X14" i="70" s="1"/>
  <c r="AJ22" i="25"/>
  <c r="AM22" i="25" s="1"/>
  <c r="BX22" i="17"/>
  <c r="BY22" i="17" s="1"/>
  <c r="BS24" i="17"/>
  <c r="M51" i="56"/>
  <c r="N51" i="56" s="1"/>
  <c r="U51" i="56" s="1"/>
  <c r="I75" i="1"/>
  <c r="N75" i="1" s="1"/>
  <c r="S35" i="70"/>
  <c r="B1806" i="53" s="1"/>
  <c r="D1806" i="53" s="1"/>
  <c r="S49" i="70"/>
  <c r="B18" i="53" s="1"/>
  <c r="D18" i="53" s="1"/>
  <c r="M6" i="70"/>
  <c r="S34" i="70"/>
  <c r="S50" i="56"/>
  <c r="I70" i="1"/>
  <c r="N70" i="1" s="1"/>
  <c r="P70" i="1" s="1"/>
  <c r="M33" i="56"/>
  <c r="B2822" i="53"/>
  <c r="Q36" i="24"/>
  <c r="T49" i="56"/>
  <c r="S43" i="70"/>
  <c r="S9" i="70"/>
  <c r="K26" i="24"/>
  <c r="L26" i="24" s="1"/>
  <c r="BT14" i="17"/>
  <c r="BU15" i="17"/>
  <c r="BU16" i="17"/>
  <c r="BU14" i="17"/>
  <c r="BT16" i="17"/>
  <c r="BT15" i="17"/>
  <c r="S50" i="70"/>
  <c r="B2658" i="53"/>
  <c r="B2688" i="53"/>
  <c r="B1030" i="53"/>
  <c r="N79" i="56"/>
  <c r="U79" i="56" s="1"/>
  <c r="B2657" i="53"/>
  <c r="B1919" i="53"/>
  <c r="B855" i="53"/>
  <c r="B2453" i="53"/>
  <c r="D2453" i="53" s="1"/>
  <c r="B2423" i="53"/>
  <c r="D2423" i="53" s="1"/>
  <c r="L41" i="24"/>
  <c r="R41" i="24" s="1"/>
  <c r="B2050" i="53"/>
  <c r="B2254" i="53"/>
  <c r="B1904" i="53"/>
  <c r="B957" i="53"/>
  <c r="B2195" i="53"/>
  <c r="B2552" i="53"/>
  <c r="T69" i="56"/>
  <c r="L12" i="24"/>
  <c r="Q12" i="24"/>
  <c r="Y12" i="24" s="1"/>
  <c r="AB12" i="24" s="1"/>
  <c r="AC12" i="24" s="1"/>
  <c r="N18" i="56"/>
  <c r="B1338" i="53"/>
  <c r="D3021" i="53"/>
  <c r="B1477" i="53"/>
  <c r="D1477" i="53" s="1"/>
  <c r="B628" i="53"/>
  <c r="D628" i="53" s="1"/>
  <c r="B1474" i="53"/>
  <c r="D1474" i="53" s="1"/>
  <c r="D2301" i="53"/>
  <c r="B291" i="53"/>
  <c r="B1816" i="53"/>
  <c r="B755" i="53"/>
  <c r="B1786" i="53"/>
  <c r="B581" i="53"/>
  <c r="B1398" i="53"/>
  <c r="B1428" i="53"/>
  <c r="P17" i="70"/>
  <c r="B1339" i="53"/>
  <c r="B1368" i="53"/>
  <c r="B552" i="53"/>
  <c r="Q17" i="70"/>
  <c r="AP43" i="25"/>
  <c r="X42" i="70" s="1"/>
  <c r="AP26" i="25"/>
  <c r="B1774" i="53"/>
  <c r="D1774" i="53" s="1"/>
  <c r="I73" i="1"/>
  <c r="N73" i="1" s="1"/>
  <c r="M31" i="56"/>
  <c r="M50" i="56"/>
  <c r="M9" i="70"/>
  <c r="I92" i="1"/>
  <c r="N92" i="1" s="1"/>
  <c r="K42" i="24"/>
  <c r="B2749" i="53"/>
  <c r="B2838" i="53"/>
  <c r="D2838" i="53" s="1"/>
  <c r="B1089" i="53"/>
  <c r="D1089" i="53" s="1"/>
  <c r="M52" i="70"/>
  <c r="B2926" i="53" s="1"/>
  <c r="AJ53" i="25"/>
  <c r="AM53" i="25" s="1"/>
  <c r="AK53" i="25"/>
  <c r="AN53" i="25" s="1"/>
  <c r="S52" i="70"/>
  <c r="AJ44" i="17"/>
  <c r="D2067" i="53"/>
  <c r="D1745" i="53"/>
  <c r="D367" i="53"/>
  <c r="D2068" i="53"/>
  <c r="D2300" i="53"/>
  <c r="D2331" i="53"/>
  <c r="D3050" i="53"/>
  <c r="D3048" i="53"/>
  <c r="D2070" i="53"/>
  <c r="D1712" i="53"/>
  <c r="D251" i="53"/>
  <c r="D2271" i="53"/>
  <c r="D2333" i="53"/>
  <c r="D165" i="53"/>
  <c r="D1623" i="53"/>
  <c r="D164" i="53"/>
  <c r="D2334" i="53"/>
  <c r="D857" i="53"/>
  <c r="D1597" i="53"/>
  <c r="D2330" i="53"/>
  <c r="D2360" i="53"/>
  <c r="N19" i="56"/>
  <c r="B1009" i="53"/>
  <c r="B2131" i="53"/>
  <c r="N70" i="56"/>
  <c r="U70" i="56" s="1"/>
  <c r="BB72" i="102"/>
  <c r="BB29" i="102"/>
  <c r="BB13" i="102"/>
  <c r="BB87" i="102"/>
  <c r="BB104" i="102"/>
  <c r="BB44" i="102"/>
  <c r="BB99" i="102"/>
  <c r="BB108" i="102"/>
  <c r="BB75" i="102"/>
  <c r="BB74" i="102"/>
  <c r="BB91" i="102"/>
  <c r="BB103" i="102"/>
  <c r="BB23" i="102"/>
  <c r="BB10" i="102"/>
  <c r="BB54" i="102"/>
  <c r="BB4" i="102"/>
  <c r="BB67" i="102"/>
  <c r="BB84" i="102"/>
  <c r="BB39" i="102"/>
  <c r="BB36" i="102"/>
  <c r="BB48" i="102"/>
  <c r="BB77" i="102"/>
  <c r="BB53" i="102"/>
  <c r="BB33" i="102"/>
  <c r="BB35" i="102"/>
  <c r="BB18" i="102"/>
  <c r="BB34" i="102"/>
  <c r="D190" i="53"/>
  <c r="BB80" i="102"/>
  <c r="BB94" i="102"/>
  <c r="BB42" i="102"/>
  <c r="BB30" i="102"/>
  <c r="BB47" i="102"/>
  <c r="BB50" i="102"/>
  <c r="BB90" i="102"/>
  <c r="BB6" i="102"/>
  <c r="BB12" i="102"/>
  <c r="BB25" i="102"/>
  <c r="BB24" i="102"/>
  <c r="BB98" i="102"/>
  <c r="BB55" i="102"/>
  <c r="BB92" i="102"/>
  <c r="BB93" i="102"/>
  <c r="BB85" i="102"/>
  <c r="BB11" i="102"/>
  <c r="BB59" i="102"/>
  <c r="BB83" i="102"/>
  <c r="BB21" i="102"/>
  <c r="BB43" i="102"/>
  <c r="BB7" i="102"/>
  <c r="BB62" i="102"/>
  <c r="BB88" i="102"/>
  <c r="BB26" i="102"/>
  <c r="BB56" i="102"/>
  <c r="BB5" i="102"/>
  <c r="BB28" i="102"/>
  <c r="BB100" i="102"/>
  <c r="BB68" i="102"/>
  <c r="BB40" i="102"/>
  <c r="BB19" i="102"/>
  <c r="BB96" i="102"/>
  <c r="BB86" i="102"/>
  <c r="BB66" i="102"/>
  <c r="BB20" i="102"/>
  <c r="BB69" i="102"/>
  <c r="BB58" i="102"/>
  <c r="BB60" i="102"/>
  <c r="BB45" i="102"/>
  <c r="BB16" i="102"/>
  <c r="BB22" i="102"/>
  <c r="BB31" i="102"/>
  <c r="BB61" i="102"/>
  <c r="BB78" i="102"/>
  <c r="BB8" i="102"/>
  <c r="BB49" i="102"/>
  <c r="BB95" i="102"/>
  <c r="BB97" i="102"/>
  <c r="BB101" i="102"/>
  <c r="BB46" i="102"/>
  <c r="BB106" i="102"/>
  <c r="BB63" i="102"/>
  <c r="BB73" i="102"/>
  <c r="BB17" i="102"/>
  <c r="BB89" i="102"/>
  <c r="BB70" i="102"/>
  <c r="BB51" i="102"/>
  <c r="BB105" i="102"/>
  <c r="BB41" i="102"/>
  <c r="BB32" i="102"/>
  <c r="BB81" i="102"/>
  <c r="BB52" i="102"/>
  <c r="BB102" i="102"/>
  <c r="BB38" i="102"/>
  <c r="BB27" i="102"/>
  <c r="BB57" i="102"/>
  <c r="BB15" i="102"/>
  <c r="BB76" i="102"/>
  <c r="BB71" i="102"/>
  <c r="BB64" i="102"/>
  <c r="BB65" i="102"/>
  <c r="BB37" i="102"/>
  <c r="BB82" i="102"/>
  <c r="BB79" i="102"/>
  <c r="BB9" i="102"/>
  <c r="BB14" i="102"/>
  <c r="BB109" i="102"/>
  <c r="D2749" i="53" l="1"/>
  <c r="AC53" i="70"/>
  <c r="B1986" i="53"/>
  <c r="B893" i="53"/>
  <c r="B2486" i="53"/>
  <c r="B1213" i="53"/>
  <c r="P73" i="1"/>
  <c r="P93" i="1"/>
  <c r="T13" i="56"/>
  <c r="AC13" i="56" s="1"/>
  <c r="AC12" i="56" s="1"/>
  <c r="P66" i="1"/>
  <c r="AC74" i="56"/>
  <c r="AI74" i="56" s="1"/>
  <c r="AJ74" i="56" s="1"/>
  <c r="B610" i="53"/>
  <c r="B2109" i="53"/>
  <c r="P34" i="56"/>
  <c r="BS8" i="17"/>
  <c r="P8" i="70" s="1"/>
  <c r="B146" i="53"/>
  <c r="B2553" i="53"/>
  <c r="B2583" i="53"/>
  <c r="B57" i="53"/>
  <c r="B987" i="53"/>
  <c r="BS33" i="17"/>
  <c r="B1834" i="53"/>
  <c r="D1834" i="53" s="1"/>
  <c r="B2404" i="53"/>
  <c r="BS36" i="17"/>
  <c r="P36" i="70" s="1"/>
  <c r="BX40" i="17"/>
  <c r="BY40" i="17" s="1"/>
  <c r="B1239" i="53"/>
  <c r="D1239" i="53" s="1"/>
  <c r="B135" i="53"/>
  <c r="D135" i="53" s="1"/>
  <c r="B106" i="53"/>
  <c r="D106" i="53" s="1"/>
  <c r="T22" i="56"/>
  <c r="AC22" i="56" s="1"/>
  <c r="AI22" i="56" s="1"/>
  <c r="AJ22" i="56" s="1"/>
  <c r="T58" i="56"/>
  <c r="X26" i="70"/>
  <c r="B76" i="53"/>
  <c r="D76" i="53" s="1"/>
  <c r="B41" i="53"/>
  <c r="Y32" i="24"/>
  <c r="AB32" i="24" s="1"/>
  <c r="AC32" i="24" s="1"/>
  <c r="AP28" i="25"/>
  <c r="I78" i="1"/>
  <c r="N78" i="1" s="1"/>
  <c r="N29" i="24"/>
  <c r="Q29" i="70"/>
  <c r="B540" i="53" s="1"/>
  <c r="D540" i="53" s="1"/>
  <c r="N38" i="24"/>
  <c r="B1743" i="53"/>
  <c r="D1743" i="53" s="1"/>
  <c r="N31" i="24"/>
  <c r="O29" i="24"/>
  <c r="D393" i="53"/>
  <c r="Q24" i="70"/>
  <c r="B395" i="53" s="1"/>
  <c r="D395" i="53" s="1"/>
  <c r="Q22" i="70"/>
  <c r="B337" i="53" s="1"/>
  <c r="D337" i="53" s="1"/>
  <c r="B713" i="53"/>
  <c r="D713" i="53" s="1"/>
  <c r="BX34" i="17"/>
  <c r="BY34" i="17" s="1"/>
  <c r="P36" i="56"/>
  <c r="Q36" i="56"/>
  <c r="M36" i="56"/>
  <c r="N36" i="56" s="1"/>
  <c r="B1044" i="53"/>
  <c r="AC58" i="56"/>
  <c r="AI58" i="56" s="1"/>
  <c r="AJ58" i="56" s="1"/>
  <c r="Y28" i="24"/>
  <c r="AB28" i="24" s="1"/>
  <c r="AC28" i="24" s="1"/>
  <c r="T25" i="56"/>
  <c r="B2733" i="53"/>
  <c r="B1161" i="53"/>
  <c r="W34" i="56"/>
  <c r="B2196" i="53"/>
  <c r="B686" i="53"/>
  <c r="D686" i="53" s="1"/>
  <c r="K29" i="24"/>
  <c r="Q29" i="24" s="1"/>
  <c r="B1685" i="53"/>
  <c r="D1685" i="53" s="1"/>
  <c r="AC54" i="56"/>
  <c r="AI54" i="56" s="1"/>
  <c r="AJ54" i="56" s="1"/>
  <c r="P46" i="56"/>
  <c r="B1488" i="53"/>
  <c r="BS11" i="17"/>
  <c r="P11" i="70" s="1"/>
  <c r="B162" i="53" s="1"/>
  <c r="D162" i="53" s="1"/>
  <c r="B770" i="53"/>
  <c r="B74" i="53"/>
  <c r="D74" i="53" s="1"/>
  <c r="B333" i="53"/>
  <c r="D1150" i="53"/>
  <c r="AC67" i="56"/>
  <c r="AI67" i="56" s="1"/>
  <c r="AJ67" i="56" s="1"/>
  <c r="P38" i="56"/>
  <c r="AC78" i="56"/>
  <c r="AI78" i="56" s="1"/>
  <c r="AJ78" i="56" s="1"/>
  <c r="AK21" i="25"/>
  <c r="AN21" i="25" s="1"/>
  <c r="Q31" i="56"/>
  <c r="Q46" i="56"/>
  <c r="Y25" i="24"/>
  <c r="AB25" i="24" s="1"/>
  <c r="AC25" i="24" s="1"/>
  <c r="AC47" i="56"/>
  <c r="AI47" i="56" s="1"/>
  <c r="AJ47" i="56" s="1"/>
  <c r="D397" i="53"/>
  <c r="AJ21" i="25"/>
  <c r="AM21" i="25" s="1"/>
  <c r="Q34" i="70"/>
  <c r="B1714" i="53" s="1"/>
  <c r="D1714" i="53" s="1"/>
  <c r="AC76" i="56"/>
  <c r="AI76" i="56" s="1"/>
  <c r="AJ76" i="56" s="1"/>
  <c r="T11" i="56"/>
  <c r="AC11" i="56" s="1"/>
  <c r="AI11" i="56" s="1"/>
  <c r="AJ11" i="56" s="1"/>
  <c r="T30" i="56"/>
  <c r="AC30" i="56" s="1"/>
  <c r="AI30" i="56" s="1"/>
  <c r="AJ30" i="56" s="1"/>
  <c r="AP8" i="25"/>
  <c r="AC64" i="56"/>
  <c r="AI64" i="56" s="1"/>
  <c r="AJ64" i="56" s="1"/>
  <c r="B45" i="53"/>
  <c r="D45" i="53" s="1"/>
  <c r="B541" i="53"/>
  <c r="D541" i="53" s="1"/>
  <c r="Q33" i="56"/>
  <c r="AP40" i="25"/>
  <c r="X40" i="70" s="1"/>
  <c r="Z40" i="70" s="1"/>
  <c r="B668" i="53"/>
  <c r="B743" i="53"/>
  <c r="D743" i="53" s="1"/>
  <c r="BX25" i="17"/>
  <c r="BY25" i="17" s="1"/>
  <c r="Q10" i="70"/>
  <c r="T10" i="70" s="1"/>
  <c r="BS6" i="17"/>
  <c r="P33" i="56" s="1"/>
  <c r="Q59" i="56"/>
  <c r="Q50" i="56"/>
  <c r="B1680" i="53"/>
  <c r="B1016" i="53"/>
  <c r="B1637" i="53"/>
  <c r="B1357" i="53"/>
  <c r="D1357" i="53" s="1"/>
  <c r="BS9" i="17"/>
  <c r="N42" i="24" s="1"/>
  <c r="Q42" i="24" s="1"/>
  <c r="B217" i="53"/>
  <c r="B1325" i="53"/>
  <c r="D1325" i="53" s="1"/>
  <c r="B2881" i="53"/>
  <c r="B1935" i="53"/>
  <c r="B12" i="53"/>
  <c r="Q10" i="56"/>
  <c r="T10" i="56" s="1"/>
  <c r="AC10" i="56" s="1"/>
  <c r="AI10" i="56" s="1"/>
  <c r="AJ10" i="56" s="1"/>
  <c r="O9" i="24"/>
  <c r="N9" i="24"/>
  <c r="Q9" i="70"/>
  <c r="T9" i="56"/>
  <c r="AC9" i="56" s="1"/>
  <c r="AI9" i="56" s="1"/>
  <c r="AJ9" i="56" s="1"/>
  <c r="Q48" i="70"/>
  <c r="B2451" i="53" s="1"/>
  <c r="D2451" i="53" s="1"/>
  <c r="BX48" i="17"/>
  <c r="BY48" i="17" s="1"/>
  <c r="P48" i="70"/>
  <c r="B2542" i="53"/>
  <c r="D2542" i="53" s="1"/>
  <c r="B1354" i="53"/>
  <c r="D1354" i="53" s="1"/>
  <c r="Q34" i="24"/>
  <c r="Y34" i="24" s="1"/>
  <c r="AB34" i="24" s="1"/>
  <c r="AC62" i="56"/>
  <c r="AI62" i="56" s="1"/>
  <c r="AJ62" i="56" s="1"/>
  <c r="B900" i="53"/>
  <c r="B1993" i="53"/>
  <c r="BS44" i="17"/>
  <c r="P44" i="70" s="1"/>
  <c r="B2630" i="53" s="1"/>
  <c r="D2630" i="53" s="1"/>
  <c r="B28" i="53"/>
  <c r="B136" i="53"/>
  <c r="D136" i="53" s="1"/>
  <c r="BS19" i="17"/>
  <c r="AP50" i="25"/>
  <c r="X49" i="70" s="1"/>
  <c r="B2517" i="53" s="1"/>
  <c r="AH38" i="70"/>
  <c r="Q13" i="70"/>
  <c r="B221" i="53" s="1"/>
  <c r="D221" i="53" s="1"/>
  <c r="Q40" i="70"/>
  <c r="B859" i="53" s="1"/>
  <c r="D859" i="53" s="1"/>
  <c r="B116" i="53"/>
  <c r="B102" i="53"/>
  <c r="D102" i="53" s="1"/>
  <c r="B43" i="53"/>
  <c r="D43" i="53" s="1"/>
  <c r="B262" i="53"/>
  <c r="AH18" i="70"/>
  <c r="B75" i="53"/>
  <c r="D75" i="53" s="1"/>
  <c r="B72" i="53"/>
  <c r="D72" i="53" s="1"/>
  <c r="B47" i="53"/>
  <c r="D47" i="53" s="1"/>
  <c r="AP44" i="25"/>
  <c r="X43" i="70" s="1"/>
  <c r="B2398" i="53" s="1"/>
  <c r="AH47" i="70"/>
  <c r="AH5" i="70"/>
  <c r="P46" i="70"/>
  <c r="B1534" i="53" s="1"/>
  <c r="D1534" i="53" s="1"/>
  <c r="Q46" i="70"/>
  <c r="B134" i="53" s="1"/>
  <c r="D134" i="53" s="1"/>
  <c r="B86" i="53"/>
  <c r="B105" i="53"/>
  <c r="D105" i="53" s="1"/>
  <c r="AG5" i="70"/>
  <c r="B46" i="53"/>
  <c r="D46" i="53" s="1"/>
  <c r="AG47" i="70"/>
  <c r="B85" i="53"/>
  <c r="AG38" i="70"/>
  <c r="D513" i="53"/>
  <c r="D2900" i="53"/>
  <c r="D1447" i="53"/>
  <c r="D1655" i="53"/>
  <c r="D512" i="53"/>
  <c r="D2479" i="53"/>
  <c r="D2482" i="53"/>
  <c r="D2155" i="53"/>
  <c r="D2153" i="53"/>
  <c r="D1295" i="53"/>
  <c r="D2156" i="53"/>
  <c r="D2509" i="53"/>
  <c r="D1268" i="53"/>
  <c r="D1265" i="53"/>
  <c r="D1121" i="53"/>
  <c r="D1064" i="53"/>
  <c r="D1060" i="53"/>
  <c r="D1652" i="53"/>
  <c r="B3001" i="53"/>
  <c r="B1547" i="53"/>
  <c r="B2971" i="53"/>
  <c r="B3000" i="53"/>
  <c r="B2970" i="53"/>
  <c r="B1546" i="53"/>
  <c r="B2460" i="53"/>
  <c r="B839" i="53"/>
  <c r="B1537" i="53"/>
  <c r="D1537" i="53" s="1"/>
  <c r="B2961" i="53"/>
  <c r="D2961" i="53" s="1"/>
  <c r="B2991" i="53"/>
  <c r="D2991" i="53" s="1"/>
  <c r="B1533" i="53"/>
  <c r="D1533" i="53" s="1"/>
  <c r="B2957" i="53"/>
  <c r="D2957" i="53" s="1"/>
  <c r="B2987" i="53"/>
  <c r="D2987" i="53" s="1"/>
  <c r="B2160" i="53"/>
  <c r="B2516" i="53"/>
  <c r="B1217" i="53"/>
  <c r="B2990" i="53"/>
  <c r="D2990" i="53" s="1"/>
  <c r="B1536" i="53"/>
  <c r="D1536" i="53" s="1"/>
  <c r="B2960" i="53"/>
  <c r="D2960" i="53" s="1"/>
  <c r="N46" i="70"/>
  <c r="B131" i="53" s="1"/>
  <c r="B1531" i="53"/>
  <c r="B2955" i="53"/>
  <c r="B2985" i="53"/>
  <c r="AE61" i="11"/>
  <c r="AK61" i="11"/>
  <c r="I62" i="31"/>
  <c r="AI61" i="11"/>
  <c r="AG61" i="11"/>
  <c r="Y61" i="11"/>
  <c r="X61" i="11"/>
  <c r="AB61" i="11"/>
  <c r="AH61" i="11"/>
  <c r="AF61" i="11"/>
  <c r="AA61" i="11"/>
  <c r="AC61" i="11"/>
  <c r="AD61" i="11"/>
  <c r="W61" i="11"/>
  <c r="Z61" i="11"/>
  <c r="AJ61" i="11"/>
  <c r="AE69" i="11"/>
  <c r="AA69" i="11"/>
  <c r="Z69" i="11"/>
  <c r="AC69" i="11"/>
  <c r="AI69" i="11"/>
  <c r="AJ69" i="11"/>
  <c r="W69" i="11"/>
  <c r="AH69" i="11"/>
  <c r="AK69" i="11"/>
  <c r="AB69" i="11"/>
  <c r="AF69" i="11"/>
  <c r="I71" i="31"/>
  <c r="X69" i="11"/>
  <c r="AD69" i="11"/>
  <c r="Y69" i="11"/>
  <c r="AG69" i="11"/>
  <c r="I8" i="31"/>
  <c r="AB8" i="11"/>
  <c r="AK8" i="11"/>
  <c r="AI8" i="11"/>
  <c r="AH8" i="11"/>
  <c r="AE8" i="11"/>
  <c r="Z8" i="11"/>
  <c r="AF8" i="11"/>
  <c r="AD8" i="11"/>
  <c r="AG8" i="11"/>
  <c r="AJ8" i="11"/>
  <c r="B2939" i="53"/>
  <c r="B2909" i="53"/>
  <c r="B1129" i="53"/>
  <c r="AD57" i="11"/>
  <c r="X57" i="11"/>
  <c r="AH57" i="11"/>
  <c r="AE57" i="11"/>
  <c r="AJ57" i="11"/>
  <c r="AG57" i="11"/>
  <c r="AF57" i="11"/>
  <c r="AK57" i="11"/>
  <c r="Z57" i="11"/>
  <c r="AI57" i="11"/>
  <c r="AB57" i="11"/>
  <c r="AC57" i="11"/>
  <c r="I58" i="31"/>
  <c r="AA57" i="11"/>
  <c r="W57" i="11"/>
  <c r="Y57" i="11"/>
  <c r="AF40" i="11"/>
  <c r="AI40" i="11"/>
  <c r="AB40" i="11"/>
  <c r="Y40" i="11"/>
  <c r="I41" i="31"/>
  <c r="AC40" i="11"/>
  <c r="AA40" i="11"/>
  <c r="Z40" i="11"/>
  <c r="W40" i="11"/>
  <c r="AH40" i="11"/>
  <c r="AK40" i="11"/>
  <c r="AE40" i="11"/>
  <c r="AD40" i="11"/>
  <c r="X40" i="11"/>
  <c r="AJ40" i="11"/>
  <c r="AG40" i="11"/>
  <c r="B2463" i="53"/>
  <c r="B1220" i="53"/>
  <c r="AP13" i="25"/>
  <c r="X12" i="70" s="1"/>
  <c r="B198" i="53" s="1"/>
  <c r="P86" i="1"/>
  <c r="BL94" i="6"/>
  <c r="BL95" i="6"/>
  <c r="BL96" i="6"/>
  <c r="BP95" i="6"/>
  <c r="BP96" i="6"/>
  <c r="BT95" i="6"/>
  <c r="BT96" i="6"/>
  <c r="P94" i="1"/>
  <c r="P87" i="1"/>
  <c r="AC69" i="56"/>
  <c r="AI69" i="56" s="1"/>
  <c r="AJ69" i="56" s="1"/>
  <c r="AC35" i="56"/>
  <c r="AI35" i="56" s="1"/>
  <c r="AJ35" i="56" s="1"/>
  <c r="AC55" i="56"/>
  <c r="AI55" i="56" s="1"/>
  <c r="AJ55" i="56" s="1"/>
  <c r="P85" i="1"/>
  <c r="AC66" i="56"/>
  <c r="AI66" i="56" s="1"/>
  <c r="AJ66" i="56" s="1"/>
  <c r="AC56" i="56"/>
  <c r="AI56" i="56" s="1"/>
  <c r="AJ56" i="56" s="1"/>
  <c r="P76" i="1"/>
  <c r="Y20" i="24"/>
  <c r="AB20" i="24" s="1"/>
  <c r="AC20" i="24" s="1"/>
  <c r="Y47" i="24"/>
  <c r="AB47" i="24" s="1"/>
  <c r="AC47" i="24" s="1"/>
  <c r="P84" i="1"/>
  <c r="AC25" i="56"/>
  <c r="AC24" i="56" s="1"/>
  <c r="Y18" i="24"/>
  <c r="Y17" i="24" s="1"/>
  <c r="AC49" i="56"/>
  <c r="AI49" i="56" s="1"/>
  <c r="AJ49" i="56" s="1"/>
  <c r="B1421" i="53"/>
  <c r="B574" i="53"/>
  <c r="B1391" i="53"/>
  <c r="B632" i="53"/>
  <c r="B1570" i="53"/>
  <c r="AP51" i="25"/>
  <c r="X50" i="70" s="1"/>
  <c r="B1686" i="53"/>
  <c r="D1686" i="53" s="1"/>
  <c r="Q49" i="24"/>
  <c r="Y49" i="24" s="1"/>
  <c r="AB49" i="24" s="1"/>
  <c r="AC49" i="24" s="1"/>
  <c r="B1770" i="53"/>
  <c r="AP23" i="25"/>
  <c r="W40" i="56" s="1"/>
  <c r="B2752" i="53"/>
  <c r="D2752" i="53" s="1"/>
  <c r="B2783" i="53"/>
  <c r="D2783" i="53" s="1"/>
  <c r="B2912" i="53"/>
  <c r="D772" i="53"/>
  <c r="D1979" i="53"/>
  <c r="B2180" i="53"/>
  <c r="B2538" i="53"/>
  <c r="B2568" i="53"/>
  <c r="B2813" i="53"/>
  <c r="D2813" i="53" s="1"/>
  <c r="B2809" i="53"/>
  <c r="D2809" i="53" s="1"/>
  <c r="B2719" i="53"/>
  <c r="D2719" i="53" s="1"/>
  <c r="B1147" i="53"/>
  <c r="D1147" i="53" s="1"/>
  <c r="B2931" i="53"/>
  <c r="D2931" i="53" s="1"/>
  <c r="D770" i="53"/>
  <c r="P95" i="1"/>
  <c r="D1982" i="53"/>
  <c r="D596" i="53"/>
  <c r="D599" i="53"/>
  <c r="D600" i="53"/>
  <c r="D774" i="53"/>
  <c r="AC44" i="56"/>
  <c r="AI44" i="56" s="1"/>
  <c r="AJ44" i="56" s="1"/>
  <c r="Y36" i="24"/>
  <c r="AB36" i="24" s="1"/>
  <c r="AC36" i="24" s="1"/>
  <c r="D1444" i="53"/>
  <c r="B697" i="53"/>
  <c r="B870" i="53"/>
  <c r="Q16" i="24"/>
  <c r="Y16" i="24" s="1"/>
  <c r="AB16" i="24" s="1"/>
  <c r="AC16" i="24" s="1"/>
  <c r="B1074" i="53"/>
  <c r="B2763" i="53"/>
  <c r="B1118" i="53"/>
  <c r="D1118" i="53" s="1"/>
  <c r="B2898" i="53"/>
  <c r="D2898" i="53" s="1"/>
  <c r="D2571" i="53"/>
  <c r="AP34" i="25"/>
  <c r="X34" i="70" s="1"/>
  <c r="B1720" i="53" s="1"/>
  <c r="T27" i="56"/>
  <c r="AC27" i="56" s="1"/>
  <c r="AI27" i="56" s="1"/>
  <c r="AJ27" i="56" s="1"/>
  <c r="B740" i="53"/>
  <c r="B2269" i="53"/>
  <c r="T71" i="56"/>
  <c r="AC71" i="56" s="1"/>
  <c r="AI71" i="56" s="1"/>
  <c r="AJ71" i="56" s="1"/>
  <c r="B2433" i="53"/>
  <c r="B2215" i="53"/>
  <c r="D2215" i="53" s="1"/>
  <c r="B2659" i="53"/>
  <c r="D2659" i="53" s="1"/>
  <c r="B681" i="53"/>
  <c r="B2599" i="53"/>
  <c r="D2599" i="53" s="1"/>
  <c r="B1249" i="53"/>
  <c r="D2569" i="53"/>
  <c r="B919" i="53"/>
  <c r="D919" i="53" s="1"/>
  <c r="B2692" i="53"/>
  <c r="D2692" i="53" s="1"/>
  <c r="B1034" i="53"/>
  <c r="D1034" i="53" s="1"/>
  <c r="T39" i="56"/>
  <c r="AC39" i="56" s="1"/>
  <c r="AI39" i="56" s="1"/>
  <c r="AJ39" i="56" s="1"/>
  <c r="B2643" i="53"/>
  <c r="Q8" i="24"/>
  <c r="Y8" i="24" s="1"/>
  <c r="AB8" i="24" s="1"/>
  <c r="AC8" i="24" s="1"/>
  <c r="B2022" i="53"/>
  <c r="T73" i="56"/>
  <c r="AC73" i="56" s="1"/>
  <c r="AI73" i="56" s="1"/>
  <c r="AJ73" i="56" s="1"/>
  <c r="B813" i="53"/>
  <c r="B2753" i="53"/>
  <c r="D2753" i="53" s="1"/>
  <c r="B2209" i="53"/>
  <c r="B1656" i="53"/>
  <c r="D1656" i="53" s="1"/>
  <c r="B2541" i="53"/>
  <c r="D2541" i="53" s="1"/>
  <c r="D886" i="53"/>
  <c r="B2184" i="53"/>
  <c r="D2184" i="53" s="1"/>
  <c r="B2642" i="53"/>
  <c r="B2722" i="53"/>
  <c r="D2722" i="53" s="1"/>
  <c r="B2094" i="53"/>
  <c r="B2539" i="53"/>
  <c r="D2539" i="53" s="1"/>
  <c r="B884" i="53"/>
  <c r="B1591" i="53"/>
  <c r="B625" i="53"/>
  <c r="D625" i="53" s="1"/>
  <c r="B1862" i="53"/>
  <c r="D1862" i="53" s="1"/>
  <c r="B2602" i="53"/>
  <c r="D2602" i="53" s="1"/>
  <c r="B1132" i="53"/>
  <c r="B2358" i="53"/>
  <c r="B1063" i="53"/>
  <c r="D1063" i="53" s="1"/>
  <c r="B2911" i="53"/>
  <c r="M45" i="70"/>
  <c r="N45" i="70" s="1"/>
  <c r="AD47" i="11"/>
  <c r="AJ47" i="11"/>
  <c r="W47" i="11"/>
  <c r="AA47" i="11"/>
  <c r="AG47" i="11"/>
  <c r="AC47" i="11"/>
  <c r="AE47" i="11"/>
  <c r="AH47" i="11"/>
  <c r="AB47" i="11"/>
  <c r="Z47" i="11"/>
  <c r="X47" i="11"/>
  <c r="AI47" i="11"/>
  <c r="AK47" i="11"/>
  <c r="I48" i="31"/>
  <c r="Y47" i="11"/>
  <c r="AF47" i="11"/>
  <c r="I51" i="31"/>
  <c r="AA50" i="11"/>
  <c r="AF50" i="11"/>
  <c r="X50" i="11"/>
  <c r="AC50" i="11"/>
  <c r="AK50" i="11"/>
  <c r="AJ50" i="11"/>
  <c r="AI50" i="11"/>
  <c r="AG50" i="11"/>
  <c r="Y50" i="11"/>
  <c r="Z50" i="11"/>
  <c r="W50" i="11"/>
  <c r="AD50" i="11"/>
  <c r="AH50" i="11"/>
  <c r="AE50" i="11"/>
  <c r="AB50" i="11"/>
  <c r="AP35" i="25"/>
  <c r="X35" i="70" s="1"/>
  <c r="B1810" i="53" s="1"/>
  <c r="AP27" i="25"/>
  <c r="X28" i="70" s="1"/>
  <c r="B517" i="53" s="1"/>
  <c r="B1869" i="53"/>
  <c r="B806" i="53"/>
  <c r="AE53" i="11"/>
  <c r="AI53" i="11"/>
  <c r="I54" i="31"/>
  <c r="W53" i="11"/>
  <c r="Y53" i="11"/>
  <c r="Z53" i="11"/>
  <c r="AF53" i="11"/>
  <c r="AK53" i="11"/>
  <c r="AJ53" i="11"/>
  <c r="AG53" i="11"/>
  <c r="AD53" i="11"/>
  <c r="AH53" i="11"/>
  <c r="AC53" i="11"/>
  <c r="X53" i="11"/>
  <c r="AA53" i="11"/>
  <c r="AB53" i="11"/>
  <c r="AD59" i="11"/>
  <c r="AK59" i="11"/>
  <c r="AJ59" i="11"/>
  <c r="W59" i="11"/>
  <c r="AG59" i="11"/>
  <c r="X59" i="11"/>
  <c r="AF59" i="11"/>
  <c r="AA59" i="11"/>
  <c r="AI59" i="11"/>
  <c r="AB59" i="11"/>
  <c r="Y59" i="11"/>
  <c r="Z59" i="11"/>
  <c r="I60" i="31"/>
  <c r="AE59" i="11"/>
  <c r="AH59" i="11"/>
  <c r="AC59" i="11"/>
  <c r="AJ16" i="11"/>
  <c r="AK16" i="11"/>
  <c r="W16" i="11"/>
  <c r="AP10" i="25"/>
  <c r="X9" i="70" s="1"/>
  <c r="Z9" i="70" s="1"/>
  <c r="T7" i="56"/>
  <c r="AC7" i="56" s="1"/>
  <c r="AI7" i="56" s="1"/>
  <c r="AJ7" i="56" s="1"/>
  <c r="Q23" i="24"/>
  <c r="Y23" i="24" s="1"/>
  <c r="AB23" i="24" s="1"/>
  <c r="AC23" i="24" s="1"/>
  <c r="AK65" i="11"/>
  <c r="AA65" i="11"/>
  <c r="X65" i="11"/>
  <c r="AI65" i="11"/>
  <c r="AB65" i="11"/>
  <c r="AD65" i="11"/>
  <c r="AH65" i="11"/>
  <c r="Z65" i="11"/>
  <c r="AC65" i="11"/>
  <c r="I66" i="31"/>
  <c r="W65" i="11"/>
  <c r="AF65" i="11"/>
  <c r="AJ65" i="11"/>
  <c r="AE65" i="11"/>
  <c r="Y65" i="11"/>
  <c r="AG65" i="11"/>
  <c r="AI62" i="11"/>
  <c r="W62" i="11"/>
  <c r="X62" i="11"/>
  <c r="AJ62" i="11"/>
  <c r="AE62" i="11"/>
  <c r="AF62" i="11"/>
  <c r="AG62" i="11"/>
  <c r="AB62" i="11"/>
  <c r="AH62" i="11"/>
  <c r="I63" i="31"/>
  <c r="AC62" i="11"/>
  <c r="Z62" i="11"/>
  <c r="AA62" i="11"/>
  <c r="AK62" i="11"/>
  <c r="Y62" i="11"/>
  <c r="AD62" i="11"/>
  <c r="B2703" i="53"/>
  <c r="B2882" i="53"/>
  <c r="Q45" i="56"/>
  <c r="B2523" i="53"/>
  <c r="T18" i="56"/>
  <c r="AC18" i="56" s="1"/>
  <c r="AI18" i="56" s="1"/>
  <c r="AJ18" i="56" s="1"/>
  <c r="T8" i="56"/>
  <c r="AC8" i="56" s="1"/>
  <c r="AI8" i="56" s="1"/>
  <c r="AJ8" i="56" s="1"/>
  <c r="T26" i="56"/>
  <c r="AC26" i="56" s="1"/>
  <c r="AI26" i="56" s="1"/>
  <c r="AJ26" i="56" s="1"/>
  <c r="T79" i="56"/>
  <c r="AC79" i="56" s="1"/>
  <c r="AI79" i="56" s="1"/>
  <c r="AJ79" i="56" s="1"/>
  <c r="T57" i="56"/>
  <c r="AC57" i="56" s="1"/>
  <c r="AI57" i="56" s="1"/>
  <c r="AJ57" i="56" s="1"/>
  <c r="D2629" i="53"/>
  <c r="B1801" i="53"/>
  <c r="B2167" i="53"/>
  <c r="B1103" i="53"/>
  <c r="B2823" i="53"/>
  <c r="B2572" i="53"/>
  <c r="D2572" i="53" s="1"/>
  <c r="B1775" i="53"/>
  <c r="D1775" i="53" s="1"/>
  <c r="B744" i="53"/>
  <c r="D744" i="53" s="1"/>
  <c r="B2793" i="53"/>
  <c r="B2093" i="53"/>
  <c r="B2901" i="53"/>
  <c r="D2901" i="53" s="1"/>
  <c r="B1800" i="53"/>
  <c r="B275" i="53"/>
  <c r="B739" i="53"/>
  <c r="D2631" i="53"/>
  <c r="B2388" i="53"/>
  <c r="B2182" i="53"/>
  <c r="D2182" i="53" s="1"/>
  <c r="D2632" i="53"/>
  <c r="AD18" i="11"/>
  <c r="AA18" i="11"/>
  <c r="AI18" i="11"/>
  <c r="AC18" i="11"/>
  <c r="X18" i="11"/>
  <c r="AK18" i="11"/>
  <c r="W18" i="11"/>
  <c r="AG18" i="11"/>
  <c r="AH18" i="11"/>
  <c r="AB18" i="11"/>
  <c r="I18" i="31"/>
  <c r="AJ18" i="11"/>
  <c r="AE18" i="11"/>
  <c r="Z18" i="11"/>
  <c r="Y18" i="11"/>
  <c r="AF18" i="11"/>
  <c r="K31" i="31"/>
  <c r="J31" i="31"/>
  <c r="L31" i="31"/>
  <c r="L12" i="31"/>
  <c r="J12" i="31"/>
  <c r="K12" i="31"/>
  <c r="L32" i="31"/>
  <c r="K32" i="31"/>
  <c r="J32" i="31"/>
  <c r="B1478" i="53"/>
  <c r="D1478" i="53" s="1"/>
  <c r="B1567" i="53"/>
  <c r="D1567" i="53" s="1"/>
  <c r="B1179" i="53"/>
  <c r="D1179" i="53" s="1"/>
  <c r="B2782" i="53"/>
  <c r="D2782" i="53" s="1"/>
  <c r="B1131" i="53"/>
  <c r="AE49" i="11"/>
  <c r="X49" i="11"/>
  <c r="AG49" i="11"/>
  <c r="AJ49" i="11"/>
  <c r="AD49" i="11"/>
  <c r="AK49" i="11"/>
  <c r="AF49" i="11"/>
  <c r="AB49" i="11"/>
  <c r="Z49" i="11"/>
  <c r="AH49" i="11"/>
  <c r="Y49" i="11"/>
  <c r="AC49" i="11"/>
  <c r="W49" i="11"/>
  <c r="I50" i="31"/>
  <c r="AI49" i="11"/>
  <c r="AA49" i="11"/>
  <c r="AC43" i="11"/>
  <c r="I44" i="31"/>
  <c r="AJ43" i="11"/>
  <c r="AI43" i="11"/>
  <c r="AD43" i="11"/>
  <c r="W43" i="11"/>
  <c r="Z43" i="11"/>
  <c r="AG43" i="11"/>
  <c r="AF43" i="11"/>
  <c r="AH43" i="11"/>
  <c r="X43" i="11"/>
  <c r="AE43" i="11"/>
  <c r="AA43" i="11"/>
  <c r="Y43" i="11"/>
  <c r="AB43" i="11"/>
  <c r="AK43" i="11"/>
  <c r="K29" i="31"/>
  <c r="L29" i="31"/>
  <c r="J29" i="31"/>
  <c r="B2786" i="53"/>
  <c r="B1183" i="53"/>
  <c r="B2816" i="53"/>
  <c r="L16" i="31"/>
  <c r="K16" i="31"/>
  <c r="J16" i="31"/>
  <c r="J37" i="31"/>
  <c r="L37" i="31"/>
  <c r="K37" i="31"/>
  <c r="AH7" i="11"/>
  <c r="AJ7" i="11"/>
  <c r="X7" i="11"/>
  <c r="Y7" i="11"/>
  <c r="AD7" i="11"/>
  <c r="AF7" i="11"/>
  <c r="AK7" i="11"/>
  <c r="AI7" i="11"/>
  <c r="AA7" i="11"/>
  <c r="I7" i="31"/>
  <c r="AG7" i="11"/>
  <c r="AE7" i="11"/>
  <c r="AC7" i="11"/>
  <c r="Z7" i="11"/>
  <c r="AB7" i="11"/>
  <c r="W7" i="11"/>
  <c r="W13" i="11"/>
  <c r="AD13" i="11"/>
  <c r="Y13" i="11"/>
  <c r="AI13" i="11"/>
  <c r="AG13" i="11"/>
  <c r="AB13" i="11"/>
  <c r="AC13" i="11"/>
  <c r="I13" i="31"/>
  <c r="AJ13" i="11"/>
  <c r="AE13" i="11"/>
  <c r="AK13" i="11"/>
  <c r="X13" i="11"/>
  <c r="AF13" i="11"/>
  <c r="AA13" i="11"/>
  <c r="Z13" i="11"/>
  <c r="AH13" i="11"/>
  <c r="L36" i="31"/>
  <c r="J36" i="31"/>
  <c r="K36" i="31"/>
  <c r="B2225" i="53"/>
  <c r="N12" i="70"/>
  <c r="B1696" i="53"/>
  <c r="N17" i="70"/>
  <c r="B2673" i="53"/>
  <c r="B2732" i="53"/>
  <c r="B984" i="53"/>
  <c r="B2371" i="53"/>
  <c r="AJ27" i="11"/>
  <c r="AH27" i="11"/>
  <c r="AK27" i="11"/>
  <c r="AC27" i="11"/>
  <c r="Y27" i="11"/>
  <c r="AF27" i="11"/>
  <c r="W27" i="11"/>
  <c r="Z27" i="11"/>
  <c r="I27" i="31"/>
  <c r="X27" i="11"/>
  <c r="AE27" i="11"/>
  <c r="AD27" i="11"/>
  <c r="AG27" i="11"/>
  <c r="AI27" i="11"/>
  <c r="AB27" i="11"/>
  <c r="AA27" i="11"/>
  <c r="AC37" i="11"/>
  <c r="I38" i="31"/>
  <c r="AG37" i="11"/>
  <c r="AB37" i="11"/>
  <c r="AK37" i="11"/>
  <c r="W37" i="11"/>
  <c r="Y37" i="11"/>
  <c r="Z37" i="11"/>
  <c r="AH37" i="11"/>
  <c r="AI37" i="11"/>
  <c r="AF37" i="11"/>
  <c r="X37" i="11"/>
  <c r="AE37" i="11"/>
  <c r="AJ37" i="11"/>
  <c r="AD37" i="11"/>
  <c r="AA37" i="11"/>
  <c r="B719" i="53"/>
  <c r="B1719" i="53"/>
  <c r="B1749" i="53"/>
  <c r="AI19" i="11"/>
  <c r="AD19" i="11"/>
  <c r="AF19" i="11"/>
  <c r="W19" i="11"/>
  <c r="AA19" i="11"/>
  <c r="Z19" i="11"/>
  <c r="AE19" i="11"/>
  <c r="AB19" i="11"/>
  <c r="AG19" i="11"/>
  <c r="X19" i="11"/>
  <c r="Y19" i="11"/>
  <c r="AH19" i="11"/>
  <c r="AC19" i="11"/>
  <c r="AK19" i="11"/>
  <c r="I19" i="31"/>
  <c r="AJ19" i="11"/>
  <c r="L34" i="31"/>
  <c r="K34" i="31"/>
  <c r="J34" i="31"/>
  <c r="B1448" i="53"/>
  <c r="D1448" i="53" s="1"/>
  <c r="Q14" i="24"/>
  <c r="Y14" i="24" s="1"/>
  <c r="Y13" i="24" s="1"/>
  <c r="B1045" i="53"/>
  <c r="N41" i="70"/>
  <c r="B629" i="53"/>
  <c r="D629" i="53" s="1"/>
  <c r="B889" i="53"/>
  <c r="D889" i="53" s="1"/>
  <c r="B1504" i="53"/>
  <c r="D1504" i="53" s="1"/>
  <c r="B2537" i="53"/>
  <c r="D890" i="53"/>
  <c r="B1073" i="53"/>
  <c r="B17" i="53"/>
  <c r="D17" i="53" s="1"/>
  <c r="B1160" i="53"/>
  <c r="W66" i="11"/>
  <c r="AD66" i="11"/>
  <c r="AB66" i="11"/>
  <c r="Y66" i="11"/>
  <c r="AF66" i="11"/>
  <c r="AA66" i="11"/>
  <c r="Z66" i="11"/>
  <c r="AH66" i="11"/>
  <c r="X66" i="11"/>
  <c r="AG66" i="11"/>
  <c r="I67" i="31"/>
  <c r="AJ66" i="11"/>
  <c r="AK66" i="11"/>
  <c r="AI66" i="11"/>
  <c r="AC66" i="11"/>
  <c r="AE66" i="11"/>
  <c r="B2905" i="53"/>
  <c r="B1125" i="53"/>
  <c r="B2935" i="53"/>
  <c r="L22" i="31"/>
  <c r="J22" i="31"/>
  <c r="K22" i="31"/>
  <c r="L10" i="31"/>
  <c r="K10" i="31"/>
  <c r="J10" i="31"/>
  <c r="L56" i="31"/>
  <c r="J56" i="31"/>
  <c r="K56" i="31"/>
  <c r="K15" i="31"/>
  <c r="L15" i="31"/>
  <c r="J15" i="31"/>
  <c r="K21" i="31"/>
  <c r="J21" i="31"/>
  <c r="L21" i="31"/>
  <c r="L68" i="31"/>
  <c r="K68" i="31"/>
  <c r="J68" i="31"/>
  <c r="B652" i="53"/>
  <c r="B2389" i="53"/>
  <c r="B971" i="53"/>
  <c r="B972" i="53"/>
  <c r="B523" i="53"/>
  <c r="B1309" i="53"/>
  <c r="B1102" i="53"/>
  <c r="B2723" i="53"/>
  <c r="D2723" i="53" s="1"/>
  <c r="B1151" i="53"/>
  <c r="D1151" i="53" s="1"/>
  <c r="AP41" i="25"/>
  <c r="X41" i="70" s="1"/>
  <c r="B1987" i="53" s="1"/>
  <c r="B1093" i="53"/>
  <c r="D1093" i="53" s="1"/>
  <c r="B2842" i="53"/>
  <c r="D2842" i="53" s="1"/>
  <c r="B2633" i="53"/>
  <c r="D2633" i="53" s="1"/>
  <c r="B2603" i="53"/>
  <c r="D2603" i="53" s="1"/>
  <c r="B2841" i="53"/>
  <c r="D2841" i="53" s="1"/>
  <c r="B1092" i="53"/>
  <c r="D1092" i="53" s="1"/>
  <c r="B2035" i="53"/>
  <c r="B942" i="53"/>
  <c r="N42" i="70"/>
  <c r="B2239" i="53"/>
  <c r="B1948" i="53"/>
  <c r="B1031" i="53"/>
  <c r="D1031" i="53" s="1"/>
  <c r="B2689" i="53"/>
  <c r="D2689" i="53" s="1"/>
  <c r="B2792" i="53"/>
  <c r="B1189" i="53"/>
  <c r="BS49" i="17"/>
  <c r="N37" i="24" s="1"/>
  <c r="O37" i="24"/>
  <c r="B2511" i="53"/>
  <c r="D2511" i="53" s="1"/>
  <c r="B2481" i="53"/>
  <c r="D2481" i="53" s="1"/>
  <c r="B1843" i="53"/>
  <c r="B25" i="53"/>
  <c r="B1158" i="53"/>
  <c r="B2019" i="53"/>
  <c r="B1425" i="53"/>
  <c r="B1395" i="53"/>
  <c r="B926" i="53"/>
  <c r="B2730" i="53"/>
  <c r="B1071" i="53"/>
  <c r="B665" i="53"/>
  <c r="B2106" i="53"/>
  <c r="B1604" i="53"/>
  <c r="B1042" i="53"/>
  <c r="B2700" i="53"/>
  <c r="B1246" i="53"/>
  <c r="B2790" i="53"/>
  <c r="B1873" i="53"/>
  <c r="B1753" i="53"/>
  <c r="B1723" i="53"/>
  <c r="B2820" i="53"/>
  <c r="B1693" i="53"/>
  <c r="B2430" i="53"/>
  <c r="B1663" i="53"/>
  <c r="F134" i="54"/>
  <c r="Z50" i="24" s="1"/>
  <c r="B1455" i="53"/>
  <c r="B1485" i="53"/>
  <c r="B2193" i="53"/>
  <c r="B2550" i="53"/>
  <c r="B2135" i="53"/>
  <c r="B1013" i="53"/>
  <c r="B2490" i="53"/>
  <c r="B2520" i="53"/>
  <c r="B2164" i="53"/>
  <c r="P25" i="70"/>
  <c r="T25" i="70" s="1"/>
  <c r="B427" i="53" s="1"/>
  <c r="O38" i="24"/>
  <c r="B2273" i="53"/>
  <c r="D2273" i="53" s="1"/>
  <c r="B2039" i="53"/>
  <c r="D2039" i="53" s="1"/>
  <c r="B858" i="53"/>
  <c r="D858" i="53" s="1"/>
  <c r="D862" i="53" s="1"/>
  <c r="B1952" i="53"/>
  <c r="D1952" i="53" s="1"/>
  <c r="B1893" i="53"/>
  <c r="D1893" i="53" s="1"/>
  <c r="D3022" i="53"/>
  <c r="B2243" i="53"/>
  <c r="D2243" i="53" s="1"/>
  <c r="N32" i="70"/>
  <c r="B2151" i="53"/>
  <c r="N33" i="70"/>
  <c r="B1592" i="53" s="1"/>
  <c r="B1866" i="53"/>
  <c r="D1866" i="53" s="1"/>
  <c r="B1860" i="53"/>
  <c r="N24" i="70"/>
  <c r="D3112" i="53"/>
  <c r="B1299" i="53"/>
  <c r="D1299" i="53" s="1"/>
  <c r="B623" i="53"/>
  <c r="B826" i="53"/>
  <c r="B1983" i="53"/>
  <c r="D1983" i="53" s="1"/>
  <c r="B362" i="53"/>
  <c r="B1269" i="53"/>
  <c r="D1269" i="53" s="1"/>
  <c r="B2930" i="53"/>
  <c r="D2930" i="53" s="1"/>
  <c r="B1561" i="53"/>
  <c r="B1625" i="53"/>
  <c r="D1625" i="53" s="1"/>
  <c r="BS42" i="17"/>
  <c r="P42" i="70" s="1"/>
  <c r="B945" i="53" s="1"/>
  <c r="D945" i="53" s="1"/>
  <c r="AP24" i="25"/>
  <c r="W31" i="56" s="1"/>
  <c r="AP29" i="25"/>
  <c r="X30" i="70" s="1"/>
  <c r="B1392" i="53" s="1"/>
  <c r="AP30" i="25"/>
  <c r="X31" i="70" s="1"/>
  <c r="Z31" i="70" s="1"/>
  <c r="AP33" i="25"/>
  <c r="X17" i="70" s="1"/>
  <c r="Z17" i="70" s="1"/>
  <c r="AP14" i="25"/>
  <c r="X13" i="70" s="1"/>
  <c r="Z13" i="70" s="1"/>
  <c r="BS41" i="17"/>
  <c r="P41" i="70" s="1"/>
  <c r="B1294" i="53"/>
  <c r="B1264" i="53"/>
  <c r="B1263" i="53"/>
  <c r="Q41" i="70"/>
  <c r="B888" i="53" s="1"/>
  <c r="D888" i="53" s="1"/>
  <c r="N37" i="70"/>
  <c r="B1861" i="53" s="1"/>
  <c r="B1836" i="53"/>
  <c r="D1836" i="53" s="1"/>
  <c r="B1293" i="53"/>
  <c r="B507" i="53"/>
  <c r="O45" i="24"/>
  <c r="D3082" i="53"/>
  <c r="B1145" i="53"/>
  <c r="BX35" i="17"/>
  <c r="Q28" i="56"/>
  <c r="Q61" i="56"/>
  <c r="T61" i="56" s="1"/>
  <c r="AC61" i="56" s="1"/>
  <c r="AI61" i="56" s="1"/>
  <c r="AJ61" i="56" s="1"/>
  <c r="BX20" i="17"/>
  <c r="BY20" i="17" s="1"/>
  <c r="BX21" i="17"/>
  <c r="BY21" i="17" s="1"/>
  <c r="Q20" i="70"/>
  <c r="T20" i="70" s="1"/>
  <c r="B282" i="53" s="1"/>
  <c r="O31" i="24"/>
  <c r="AC32" i="56"/>
  <c r="AI32" i="56" s="1"/>
  <c r="AJ32" i="56" s="1"/>
  <c r="D2305" i="53"/>
  <c r="B1120" i="53"/>
  <c r="D1120" i="53" s="1"/>
  <c r="B1506" i="53"/>
  <c r="D1506" i="53" s="1"/>
  <c r="X24" i="70"/>
  <c r="B401" i="53" s="1"/>
  <c r="B768" i="53"/>
  <c r="N36" i="70"/>
  <c r="Q37" i="70"/>
  <c r="B2717" i="53"/>
  <c r="BS45" i="17"/>
  <c r="P45" i="70" s="1"/>
  <c r="AK20" i="25"/>
  <c r="AN20" i="25" s="1"/>
  <c r="Q27" i="24"/>
  <c r="Y27" i="24" s="1"/>
  <c r="AB27" i="24" s="1"/>
  <c r="AC27" i="24" s="1"/>
  <c r="AP32" i="25"/>
  <c r="X33" i="70" s="1"/>
  <c r="Z33" i="70" s="1"/>
  <c r="AP31" i="25"/>
  <c r="X32" i="70" s="1"/>
  <c r="Z32" i="70" s="1"/>
  <c r="N30" i="70"/>
  <c r="B566" i="53" s="1"/>
  <c r="N49" i="70"/>
  <c r="Q28" i="70"/>
  <c r="B511" i="53" s="1"/>
  <c r="D511" i="53" s="1"/>
  <c r="B2507" i="53"/>
  <c r="N30" i="24"/>
  <c r="P37" i="56"/>
  <c r="B1382" i="53"/>
  <c r="AK46" i="25"/>
  <c r="AN46" i="25" s="1"/>
  <c r="AP46" i="25" s="1"/>
  <c r="T26" i="24"/>
  <c r="B1925" i="53"/>
  <c r="D1925" i="53" s="1"/>
  <c r="N15" i="70"/>
  <c r="B2718" i="53" s="1"/>
  <c r="B1412" i="53"/>
  <c r="BS13" i="17"/>
  <c r="P60" i="56" s="1"/>
  <c r="T60" i="56" s="1"/>
  <c r="O30" i="24"/>
  <c r="N29" i="70"/>
  <c r="B537" i="53" s="1"/>
  <c r="Q52" i="56"/>
  <c r="AC77" i="56"/>
  <c r="AI77" i="56" s="1"/>
  <c r="AJ77" i="56" s="1"/>
  <c r="BS52" i="17"/>
  <c r="BS28" i="17"/>
  <c r="P28" i="70" s="1"/>
  <c r="B1296" i="53" s="1"/>
  <c r="D1296" i="53" s="1"/>
  <c r="Z11" i="70"/>
  <c r="Y35" i="24"/>
  <c r="AB35" i="24" s="1"/>
  <c r="AC35" i="24" s="1"/>
  <c r="Y48" i="24"/>
  <c r="AB48" i="24" s="1"/>
  <c r="AC48" i="24" s="1"/>
  <c r="B2007" i="53"/>
  <c r="AI42" i="56"/>
  <c r="AJ42" i="56" s="1"/>
  <c r="AJ41" i="56" s="1"/>
  <c r="B569" i="53"/>
  <c r="D569" i="53" s="1"/>
  <c r="B914" i="53"/>
  <c r="X10" i="70"/>
  <c r="Z10" i="70" s="1"/>
  <c r="B2601" i="53"/>
  <c r="D2601" i="53" s="1"/>
  <c r="B2747" i="53"/>
  <c r="B256" i="53"/>
  <c r="AP22" i="25"/>
  <c r="W36" i="56" s="1"/>
  <c r="M21" i="70"/>
  <c r="B1472" i="53"/>
  <c r="B2777" i="53"/>
  <c r="T8" i="70"/>
  <c r="B1356" i="53"/>
  <c r="D1356" i="53" s="1"/>
  <c r="AJ20" i="25"/>
  <c r="AM20" i="25" s="1"/>
  <c r="W60" i="56"/>
  <c r="B913" i="53"/>
  <c r="B1327" i="53"/>
  <c r="D1327" i="53" s="1"/>
  <c r="M38" i="56"/>
  <c r="N38" i="56" s="1"/>
  <c r="K31" i="24"/>
  <c r="Q37" i="56"/>
  <c r="BS26" i="17"/>
  <c r="AP39" i="25"/>
  <c r="X39" i="70" s="1"/>
  <c r="Z39" i="70" s="1"/>
  <c r="T35" i="70"/>
  <c r="B1777" i="53" s="1"/>
  <c r="B2006" i="53"/>
  <c r="T11" i="70"/>
  <c r="B166" i="53" s="1"/>
  <c r="Q38" i="56"/>
  <c r="Y41" i="24"/>
  <c r="AB41" i="24" s="1"/>
  <c r="AC41" i="24" s="1"/>
  <c r="Q21" i="70"/>
  <c r="B536" i="53"/>
  <c r="W33" i="56"/>
  <c r="B627" i="53"/>
  <c r="D627" i="53" s="1"/>
  <c r="BS31" i="17"/>
  <c r="Q31" i="70"/>
  <c r="AI16" i="56"/>
  <c r="AJ16" i="56" s="1"/>
  <c r="AJ15" i="56" s="1"/>
  <c r="B1352" i="53"/>
  <c r="Q51" i="56"/>
  <c r="Q26" i="70"/>
  <c r="B453" i="53" s="1"/>
  <c r="D453" i="53" s="1"/>
  <c r="Q39" i="70"/>
  <c r="B830" i="53" s="1"/>
  <c r="D830" i="53" s="1"/>
  <c r="BS39" i="17"/>
  <c r="BS27" i="17"/>
  <c r="BX27" i="17" s="1"/>
  <c r="O21" i="24"/>
  <c r="Q23" i="70"/>
  <c r="B366" i="53" s="1"/>
  <c r="D366" i="53" s="1"/>
  <c r="BS23" i="17"/>
  <c r="BS43" i="17"/>
  <c r="Q43" i="70"/>
  <c r="AP7" i="25"/>
  <c r="X6" i="70" s="1"/>
  <c r="Q51" i="70"/>
  <c r="B104" i="53" s="1"/>
  <c r="D104" i="53" s="1"/>
  <c r="BS51" i="17"/>
  <c r="BX36" i="17"/>
  <c r="D2071" i="53"/>
  <c r="Y46" i="24"/>
  <c r="AB46" i="24" s="1"/>
  <c r="AC46" i="24" s="1"/>
  <c r="T34" i="56"/>
  <c r="AP19" i="25"/>
  <c r="T22" i="24" s="1"/>
  <c r="Y22" i="24" s="1"/>
  <c r="AB22" i="24" s="1"/>
  <c r="AC22" i="24" s="1"/>
  <c r="P6" i="70"/>
  <c r="T6" i="70" s="1"/>
  <c r="B218" i="53"/>
  <c r="N31" i="70"/>
  <c r="B1442" i="53"/>
  <c r="B363" i="53"/>
  <c r="D3052" i="53"/>
  <c r="W50" i="56"/>
  <c r="B1416" i="53"/>
  <c r="D1416" i="53" s="1"/>
  <c r="T12" i="70"/>
  <c r="B195" i="53" s="1"/>
  <c r="B656" i="53"/>
  <c r="D656" i="53" s="1"/>
  <c r="T46" i="56"/>
  <c r="AC46" i="56" s="1"/>
  <c r="AI46" i="56" s="1"/>
  <c r="AJ46" i="56" s="1"/>
  <c r="B247" i="53"/>
  <c r="AP52" i="25"/>
  <c r="X51" i="70" s="1"/>
  <c r="Z51" i="70" s="1"/>
  <c r="B2840" i="53"/>
  <c r="D2840" i="53" s="1"/>
  <c r="B1091" i="53"/>
  <c r="D1091" i="53" s="1"/>
  <c r="B2870" i="53"/>
  <c r="D2870" i="53" s="1"/>
  <c r="B449" i="53"/>
  <c r="N26" i="70"/>
  <c r="N25" i="70"/>
  <c r="B420" i="53"/>
  <c r="P37" i="70"/>
  <c r="BX37" i="17"/>
  <c r="BY37" i="17" s="1"/>
  <c r="B1803" i="53"/>
  <c r="D1803" i="53" s="1"/>
  <c r="B1773" i="53"/>
  <c r="D1773" i="53" s="1"/>
  <c r="N51" i="70"/>
  <c r="B1174" i="53"/>
  <c r="B2483" i="53"/>
  <c r="D2483" i="53" s="1"/>
  <c r="B2157" i="53"/>
  <c r="D2157" i="53" s="1"/>
  <c r="B2513" i="53"/>
  <c r="D2513" i="53" s="1"/>
  <c r="P50" i="70"/>
  <c r="BX50" i="17"/>
  <c r="BY50" i="17" s="1"/>
  <c r="P59" i="56"/>
  <c r="B336" i="53"/>
  <c r="D336" i="53" s="1"/>
  <c r="D340" i="53" s="1"/>
  <c r="T22" i="70"/>
  <c r="B340" i="53" s="1"/>
  <c r="N10" i="56"/>
  <c r="P30" i="70"/>
  <c r="BX30" i="17"/>
  <c r="BX33" i="17"/>
  <c r="P33" i="70"/>
  <c r="B2186" i="53"/>
  <c r="D2186" i="53" s="1"/>
  <c r="B2543" i="53"/>
  <c r="D2543" i="53" s="1"/>
  <c r="B2573" i="53"/>
  <c r="D2573" i="53" s="1"/>
  <c r="L29" i="24"/>
  <c r="B2757" i="53"/>
  <c r="B1068" i="53"/>
  <c r="B2727" i="53"/>
  <c r="B1155" i="53"/>
  <c r="Z15" i="70"/>
  <c r="N40" i="24"/>
  <c r="Q40" i="24" s="1"/>
  <c r="P48" i="56"/>
  <c r="T48" i="56" s="1"/>
  <c r="P7" i="70"/>
  <c r="T7" i="70" s="1"/>
  <c r="AA7" i="70" s="1"/>
  <c r="T40" i="24"/>
  <c r="W48" i="56"/>
  <c r="X8" i="70"/>
  <c r="B1003" i="53"/>
  <c r="D1003" i="53" s="1"/>
  <c r="BX32" i="17"/>
  <c r="BY32" i="17" s="1"/>
  <c r="P32" i="70"/>
  <c r="BS15" i="17"/>
  <c r="P15" i="70" s="1"/>
  <c r="Q15" i="70"/>
  <c r="B1716" i="53"/>
  <c r="D1716" i="53" s="1"/>
  <c r="B1746" i="53"/>
  <c r="D1746" i="53" s="1"/>
  <c r="B716" i="53"/>
  <c r="D716" i="53" s="1"/>
  <c r="B1776" i="53"/>
  <c r="D1776" i="53" s="1"/>
  <c r="B745" i="53"/>
  <c r="D745" i="53" s="1"/>
  <c r="P31" i="56"/>
  <c r="T31" i="56" s="1"/>
  <c r="BX24" i="17"/>
  <c r="N24" i="24"/>
  <c r="Q24" i="24" s="1"/>
  <c r="P24" i="70"/>
  <c r="P29" i="70"/>
  <c r="BX29" i="17"/>
  <c r="BY29" i="17" s="1"/>
  <c r="B2447" i="53"/>
  <c r="B2417" i="53"/>
  <c r="B2122" i="53"/>
  <c r="N48" i="70"/>
  <c r="B1000" i="53"/>
  <c r="B827" i="53"/>
  <c r="D166" i="53"/>
  <c r="BS16" i="17"/>
  <c r="Q16" i="70"/>
  <c r="Q72" i="56"/>
  <c r="BS14" i="17"/>
  <c r="P14" i="70" s="1"/>
  <c r="Q14" i="70"/>
  <c r="B2394" i="53"/>
  <c r="D2394" i="53" s="1"/>
  <c r="B977" i="53"/>
  <c r="D977" i="53" s="1"/>
  <c r="B2099" i="53"/>
  <c r="D2099" i="53" s="1"/>
  <c r="B2364" i="53"/>
  <c r="D2364" i="53" s="1"/>
  <c r="N33" i="56"/>
  <c r="B1233" i="53"/>
  <c r="N6" i="70"/>
  <c r="B1204" i="53"/>
  <c r="B1740" i="53"/>
  <c r="B1710" i="53"/>
  <c r="N34" i="70"/>
  <c r="B710" i="53"/>
  <c r="B2547" i="53"/>
  <c r="B2190" i="53"/>
  <c r="B2577" i="53"/>
  <c r="Z50" i="70"/>
  <c r="AP49" i="25"/>
  <c r="X48" i="70" s="1"/>
  <c r="AI5" i="56"/>
  <c r="D2335" i="53"/>
  <c r="B1683" i="53"/>
  <c r="D1683" i="53" s="1"/>
  <c r="T17" i="70"/>
  <c r="B1653" i="53"/>
  <c r="D1653" i="53" s="1"/>
  <c r="B684" i="53"/>
  <c r="D684" i="53" s="1"/>
  <c r="B1684" i="53"/>
  <c r="D1684" i="53" s="1"/>
  <c r="B1654" i="53"/>
  <c r="D1654" i="53" s="1"/>
  <c r="B685" i="53"/>
  <c r="D685" i="53" s="1"/>
  <c r="AC70" i="56"/>
  <c r="AI70" i="56" s="1"/>
  <c r="AJ70" i="56" s="1"/>
  <c r="N50" i="56"/>
  <c r="B1840" i="53"/>
  <c r="B778" i="53"/>
  <c r="Z36" i="70"/>
  <c r="Z14" i="70"/>
  <c r="B2667" i="53"/>
  <c r="B1039" i="53"/>
  <c r="B2697" i="53"/>
  <c r="AJ45" i="25"/>
  <c r="AM45" i="25" s="1"/>
  <c r="AK45" i="25"/>
  <c r="AN45" i="25" s="1"/>
  <c r="M44" i="70"/>
  <c r="B70" i="53" s="1"/>
  <c r="BX44" i="17"/>
  <c r="BY44" i="17" s="1"/>
  <c r="AP53" i="25"/>
  <c r="X52" i="70" s="1"/>
  <c r="L42" i="24"/>
  <c r="N31" i="56"/>
  <c r="U31" i="56" s="1"/>
  <c r="B2016" i="53"/>
  <c r="Z16" i="70"/>
  <c r="B2219" i="53"/>
  <c r="B923" i="53"/>
  <c r="X27" i="70"/>
  <c r="W51" i="56"/>
  <c r="T43" i="24"/>
  <c r="B459" i="53"/>
  <c r="Z26" i="70"/>
  <c r="B276" i="53"/>
  <c r="B51" i="53"/>
  <c r="Z7" i="70"/>
  <c r="N52" i="70"/>
  <c r="B2896" i="53"/>
  <c r="B1116" i="53"/>
  <c r="B807" i="53"/>
  <c r="B1870" i="53"/>
  <c r="Z37" i="70"/>
  <c r="B1122" i="53"/>
  <c r="D1122" i="53" s="1"/>
  <c r="B2902" i="53"/>
  <c r="D2902" i="53" s="1"/>
  <c r="B2932" i="53"/>
  <c r="D2932" i="53" s="1"/>
  <c r="B100" i="53"/>
  <c r="N9" i="70"/>
  <c r="X29" i="70"/>
  <c r="T44" i="24"/>
  <c r="W52" i="56"/>
  <c r="B2249" i="53"/>
  <c r="B1958" i="53"/>
  <c r="B2279" i="53"/>
  <c r="Z42" i="70"/>
  <c r="B2045" i="53"/>
  <c r="B952" i="53"/>
  <c r="B1899" i="53"/>
  <c r="AC5" i="56"/>
  <c r="AB11" i="24"/>
  <c r="AB10" i="24" s="1"/>
  <c r="Y5" i="24"/>
  <c r="AB6" i="24"/>
  <c r="BX19" i="17" l="1"/>
  <c r="BY19" i="17" s="1"/>
  <c r="B22" i="53"/>
  <c r="AI13" i="56"/>
  <c r="AI12" i="56" s="1"/>
  <c r="P53" i="56"/>
  <c r="T53" i="56" s="1"/>
  <c r="AC53" i="56" s="1"/>
  <c r="AI53" i="56" s="1"/>
  <c r="AJ53" i="56" s="1"/>
  <c r="T59" i="56"/>
  <c r="AC59" i="56" s="1"/>
  <c r="AI59" i="56" s="1"/>
  <c r="AJ59" i="56" s="1"/>
  <c r="P19" i="70"/>
  <c r="B249" i="53" s="1"/>
  <c r="D249" i="53" s="1"/>
  <c r="D253" i="53" s="1"/>
  <c r="B1744" i="53"/>
  <c r="D1744" i="53" s="1"/>
  <c r="T40" i="70"/>
  <c r="B862" i="53" s="1"/>
  <c r="B133" i="53"/>
  <c r="D133" i="53" s="1"/>
  <c r="D137" i="53" s="1"/>
  <c r="AC34" i="56"/>
  <c r="AI34" i="56" s="1"/>
  <c r="AJ34" i="56" s="1"/>
  <c r="T33" i="56"/>
  <c r="AC33" i="56" s="1"/>
  <c r="AI33" i="56" s="1"/>
  <c r="AJ33" i="56" s="1"/>
  <c r="T36" i="56"/>
  <c r="B2126" i="53"/>
  <c r="D2126" i="53" s="1"/>
  <c r="T34" i="70"/>
  <c r="B1747" i="53" s="1"/>
  <c r="B1004" i="53"/>
  <c r="D1004" i="53" s="1"/>
  <c r="B2421" i="53"/>
  <c r="D2421" i="53" s="1"/>
  <c r="B714" i="53"/>
  <c r="D714" i="53" s="1"/>
  <c r="B1923" i="53"/>
  <c r="D1923" i="53" s="1"/>
  <c r="D1926" i="53" s="1"/>
  <c r="Q9" i="24"/>
  <c r="Y9" i="24" s="1"/>
  <c r="AB9" i="24" s="1"/>
  <c r="AC9" i="24" s="1"/>
  <c r="X25" i="70"/>
  <c r="AP21" i="25"/>
  <c r="Q38" i="24"/>
  <c r="Y38" i="24" s="1"/>
  <c r="AB38" i="24" s="1"/>
  <c r="AC38" i="24" s="1"/>
  <c r="Z12" i="70"/>
  <c r="P13" i="70"/>
  <c r="T48" i="70"/>
  <c r="B2424" i="53" s="1"/>
  <c r="N26" i="24"/>
  <c r="Q26" i="24" s="1"/>
  <c r="B2125" i="53"/>
  <c r="D2125" i="53" s="1"/>
  <c r="B2450" i="53"/>
  <c r="D2450" i="53" s="1"/>
  <c r="B2420" i="53"/>
  <c r="D2420" i="53" s="1"/>
  <c r="B2368" i="53"/>
  <c r="B1929" i="53"/>
  <c r="Y33" i="24"/>
  <c r="Y52" i="24" s="1"/>
  <c r="B865" i="53"/>
  <c r="P9" i="70"/>
  <c r="Z49" i="70"/>
  <c r="B2103" i="53"/>
  <c r="B1535" i="53"/>
  <c r="D1535" i="53" s="1"/>
  <c r="P50" i="56"/>
  <c r="T50" i="56" s="1"/>
  <c r="B2161" i="53"/>
  <c r="B981" i="53"/>
  <c r="Z43" i="70"/>
  <c r="B2487" i="53"/>
  <c r="B2600" i="53"/>
  <c r="D2600" i="53" s="1"/>
  <c r="B2988" i="53"/>
  <c r="D2988" i="53" s="1"/>
  <c r="T24" i="24"/>
  <c r="Y24" i="24" s="1"/>
  <c r="AB24" i="24" s="1"/>
  <c r="AC24" i="24" s="1"/>
  <c r="X23" i="70"/>
  <c r="B1273" i="53"/>
  <c r="N45" i="24"/>
  <c r="Q45" i="24" s="1"/>
  <c r="Y45" i="24" s="1"/>
  <c r="AB45" i="24" s="1"/>
  <c r="AC45" i="24" s="1"/>
  <c r="P49" i="70"/>
  <c r="B2154" i="53" s="1"/>
  <c r="D2154" i="53" s="1"/>
  <c r="B2989" i="53"/>
  <c r="D2989" i="53" s="1"/>
  <c r="T46" i="70"/>
  <c r="B137" i="53" s="1"/>
  <c r="B73" i="53"/>
  <c r="D73" i="53" s="1"/>
  <c r="B2959" i="53"/>
  <c r="D2959" i="53" s="1"/>
  <c r="B2958" i="53"/>
  <c r="D2958" i="53" s="1"/>
  <c r="BX42" i="17"/>
  <c r="BY42" i="17" s="1"/>
  <c r="AG53" i="70"/>
  <c r="AH53" i="70"/>
  <c r="B2152" i="53"/>
  <c r="B13" i="53"/>
  <c r="B110" i="53"/>
  <c r="J71" i="31"/>
  <c r="K71" i="31"/>
  <c r="L71" i="31"/>
  <c r="B2956" i="53"/>
  <c r="B2986" i="53"/>
  <c r="B1532" i="53"/>
  <c r="J62" i="31"/>
  <c r="L62" i="31"/>
  <c r="K62" i="31"/>
  <c r="K41" i="31"/>
  <c r="L41" i="31"/>
  <c r="J41" i="31"/>
  <c r="K58" i="31"/>
  <c r="J58" i="31"/>
  <c r="L58" i="31"/>
  <c r="L8" i="31"/>
  <c r="J8" i="31"/>
  <c r="K8" i="31"/>
  <c r="B1780" i="53"/>
  <c r="B1303" i="53"/>
  <c r="W28" i="56"/>
  <c r="T21" i="24"/>
  <c r="AB18" i="24"/>
  <c r="AB17" i="24" s="1"/>
  <c r="AC80" i="56"/>
  <c r="AI25" i="56"/>
  <c r="AJ25" i="56" s="1"/>
  <c r="AJ24" i="56" s="1"/>
  <c r="Z34" i="70"/>
  <c r="AP20" i="25"/>
  <c r="T30" i="24" s="1"/>
  <c r="Z35" i="70"/>
  <c r="B1750" i="53"/>
  <c r="B720" i="53"/>
  <c r="D746" i="53"/>
  <c r="B894" i="53"/>
  <c r="Q37" i="24"/>
  <c r="Y37" i="24" s="1"/>
  <c r="AB37" i="24" s="1"/>
  <c r="AC37" i="24" s="1"/>
  <c r="B682" i="53"/>
  <c r="D688" i="53" s="1"/>
  <c r="B2866" i="53"/>
  <c r="B1562" i="53"/>
  <c r="B624" i="53"/>
  <c r="B798" i="53"/>
  <c r="B392" i="53"/>
  <c r="B1681" i="53"/>
  <c r="D1687" i="53" s="1"/>
  <c r="B749" i="53"/>
  <c r="B1601" i="53"/>
  <c r="B1651" i="53"/>
  <c r="D1657" i="53" s="1"/>
  <c r="D1807" i="53"/>
  <c r="B1503" i="53"/>
  <c r="Z28" i="70"/>
  <c r="Z41" i="70"/>
  <c r="B189" i="53"/>
  <c r="D195" i="53" s="1"/>
  <c r="Z24" i="70"/>
  <c r="B1512" i="53"/>
  <c r="B1571" i="53"/>
  <c r="B653" i="53"/>
  <c r="T45" i="70"/>
  <c r="J48" i="31"/>
  <c r="K48" i="31"/>
  <c r="L48" i="31"/>
  <c r="J60" i="31"/>
  <c r="L60" i="31"/>
  <c r="K60" i="31"/>
  <c r="J51" i="31"/>
  <c r="K51" i="31"/>
  <c r="L51" i="31"/>
  <c r="X45" i="70"/>
  <c r="B1097" i="53" s="1"/>
  <c r="J63" i="31"/>
  <c r="L63" i="31"/>
  <c r="K63" i="31"/>
  <c r="J66" i="31"/>
  <c r="K66" i="31"/>
  <c r="L66" i="31"/>
  <c r="J54" i="31"/>
  <c r="K54" i="31"/>
  <c r="L54" i="31"/>
  <c r="AB14" i="24"/>
  <c r="AC14" i="24" s="1"/>
  <c r="AC13" i="24" s="1"/>
  <c r="L27" i="31"/>
  <c r="K27" i="31"/>
  <c r="J27" i="31"/>
  <c r="J67" i="31"/>
  <c r="L67" i="31"/>
  <c r="K67" i="31"/>
  <c r="L13" i="31"/>
  <c r="K13" i="31"/>
  <c r="J13" i="31"/>
  <c r="L18" i="31"/>
  <c r="K18" i="31"/>
  <c r="J18" i="31"/>
  <c r="B885" i="53"/>
  <c r="B1978" i="53"/>
  <c r="J19" i="31"/>
  <c r="K19" i="31"/>
  <c r="L19" i="31"/>
  <c r="J38" i="31"/>
  <c r="L38" i="31"/>
  <c r="K38" i="31"/>
  <c r="L7" i="31"/>
  <c r="K7" i="31"/>
  <c r="J7" i="31"/>
  <c r="K44" i="31"/>
  <c r="L44" i="31"/>
  <c r="J44" i="31"/>
  <c r="L50" i="31"/>
  <c r="J50" i="31"/>
  <c r="K50" i="31"/>
  <c r="B1890" i="53"/>
  <c r="B2270" i="53"/>
  <c r="B2240" i="53"/>
  <c r="B1949" i="53"/>
  <c r="B2036" i="53"/>
  <c r="B943" i="53"/>
  <c r="D949" i="53" s="1"/>
  <c r="BX49" i="17"/>
  <c r="BY49" i="17" s="1"/>
  <c r="P45" i="56"/>
  <c r="T45" i="56" s="1"/>
  <c r="AC45" i="56" s="1"/>
  <c r="AI45" i="56" s="1"/>
  <c r="AJ45" i="56" s="1"/>
  <c r="B423" i="53"/>
  <c r="D423" i="53" s="1"/>
  <c r="B279" i="53"/>
  <c r="D279" i="53" s="1"/>
  <c r="D282" i="53" s="1"/>
  <c r="BX41" i="17"/>
  <c r="BY41" i="17" s="1"/>
  <c r="T19" i="70"/>
  <c r="B2242" i="53"/>
  <c r="D2242" i="53" s="1"/>
  <c r="B1622" i="53"/>
  <c r="B2836" i="53"/>
  <c r="B604" i="53"/>
  <c r="B1951" i="53"/>
  <c r="D1951" i="53" s="1"/>
  <c r="B662" i="53"/>
  <c r="B1631" i="53"/>
  <c r="Y26" i="24"/>
  <c r="AB26" i="24" s="1"/>
  <c r="AC26" i="24" s="1"/>
  <c r="B140" i="53"/>
  <c r="B2867" i="53"/>
  <c r="B746" i="53"/>
  <c r="B2748" i="53"/>
  <c r="B691" i="53"/>
  <c r="B1087" i="53"/>
  <c r="B1807" i="53"/>
  <c r="B1146" i="53"/>
  <c r="B1690" i="53"/>
  <c r="B1926" i="53"/>
  <c r="B1660" i="53"/>
  <c r="B769" i="53"/>
  <c r="BY35" i="17"/>
  <c r="B1267" i="53"/>
  <c r="D1267" i="53" s="1"/>
  <c r="B575" i="53"/>
  <c r="Z30" i="70"/>
  <c r="B227" i="53"/>
  <c r="B1981" i="53"/>
  <c r="D1981" i="53" s="1"/>
  <c r="B1422" i="53"/>
  <c r="AI41" i="56"/>
  <c r="T42" i="70"/>
  <c r="B2038" i="53"/>
  <c r="D2038" i="53" s="1"/>
  <c r="B510" i="53"/>
  <c r="D510" i="53" s="1"/>
  <c r="D514" i="53" s="1"/>
  <c r="B1892" i="53"/>
  <c r="D1892" i="53" s="1"/>
  <c r="B2272" i="53"/>
  <c r="D2272" i="53" s="1"/>
  <c r="AI15" i="56"/>
  <c r="T29" i="24"/>
  <c r="B717" i="53"/>
  <c r="B1297" i="53"/>
  <c r="D1297" i="53" s="1"/>
  <c r="D1300" i="53" s="1"/>
  <c r="B1452" i="53"/>
  <c r="B1482" i="53"/>
  <c r="B42" i="53"/>
  <c r="B633" i="53"/>
  <c r="B1413" i="53"/>
  <c r="B1831" i="53"/>
  <c r="T28" i="70"/>
  <c r="B514" i="53" s="1"/>
  <c r="B1383" i="53"/>
  <c r="T37" i="56"/>
  <c r="B1864" i="53"/>
  <c r="D1864" i="53" s="1"/>
  <c r="B801" i="53"/>
  <c r="D801" i="53" s="1"/>
  <c r="BX45" i="17"/>
  <c r="BY45" i="17" s="1"/>
  <c r="Q30" i="24"/>
  <c r="B1059" i="53"/>
  <c r="B1266" i="53"/>
  <c r="D1266" i="53" s="1"/>
  <c r="T38" i="56"/>
  <c r="B1324" i="53"/>
  <c r="B1353" i="53"/>
  <c r="B2508" i="53"/>
  <c r="B2478" i="53"/>
  <c r="N44" i="24"/>
  <c r="Q44" i="24" s="1"/>
  <c r="Y44" i="24" s="1"/>
  <c r="AB44" i="24" s="1"/>
  <c r="AC44" i="24" s="1"/>
  <c r="P52" i="56"/>
  <c r="T52" i="56" s="1"/>
  <c r="AC52" i="56" s="1"/>
  <c r="AI52" i="56" s="1"/>
  <c r="AJ52" i="56" s="1"/>
  <c r="BX28" i="17"/>
  <c r="P52" i="70"/>
  <c r="BX52" i="17"/>
  <c r="BY52" i="17" s="1"/>
  <c r="W29" i="56"/>
  <c r="AC29" i="56" s="1"/>
  <c r="AI29" i="56" s="1"/>
  <c r="AJ29" i="56" s="1"/>
  <c r="N21" i="70"/>
  <c r="B304" i="53"/>
  <c r="D1777" i="53"/>
  <c r="T9" i="70"/>
  <c r="B2817" i="53"/>
  <c r="B836" i="53"/>
  <c r="L31" i="24"/>
  <c r="Q31" i="24"/>
  <c r="X20" i="70"/>
  <c r="Z20" i="70" s="1"/>
  <c r="P26" i="70"/>
  <c r="B452" i="53" s="1"/>
  <c r="D452" i="53" s="1"/>
  <c r="P51" i="56"/>
  <c r="T51" i="56" s="1"/>
  <c r="AC51" i="56" s="1"/>
  <c r="AI51" i="56" s="1"/>
  <c r="AJ51" i="56" s="1"/>
  <c r="N43" i="24"/>
  <c r="Q43" i="24" s="1"/>
  <c r="Y43" i="24" s="1"/>
  <c r="AB43" i="24" s="1"/>
  <c r="AC43" i="24" s="1"/>
  <c r="BX26" i="17"/>
  <c r="BY26" i="17" s="1"/>
  <c r="B1184" i="53"/>
  <c r="B2787" i="53"/>
  <c r="T21" i="70"/>
  <c r="B311" i="53" s="1"/>
  <c r="B308" i="53"/>
  <c r="D308" i="53" s="1"/>
  <c r="T31" i="24"/>
  <c r="W38" i="56"/>
  <c r="X22" i="70"/>
  <c r="B2362" i="53"/>
  <c r="D2362" i="53" s="1"/>
  <c r="B975" i="53"/>
  <c r="D975" i="53" s="1"/>
  <c r="B2392" i="53"/>
  <c r="D2392" i="53" s="1"/>
  <c r="B2097" i="53"/>
  <c r="D2097" i="53" s="1"/>
  <c r="P23" i="70"/>
  <c r="P40" i="56"/>
  <c r="T40" i="56" s="1"/>
  <c r="AC40" i="56" s="1"/>
  <c r="AI40" i="56" s="1"/>
  <c r="AJ40" i="56" s="1"/>
  <c r="BX23" i="17"/>
  <c r="P39" i="70"/>
  <c r="BX39" i="17"/>
  <c r="BY39" i="17" s="1"/>
  <c r="B1446" i="53"/>
  <c r="D1446" i="53" s="1"/>
  <c r="B1476" i="53"/>
  <c r="D1476" i="53" s="1"/>
  <c r="B598" i="53"/>
  <c r="D598" i="53" s="1"/>
  <c r="P43" i="70"/>
  <c r="BX43" i="17"/>
  <c r="BY43" i="17" s="1"/>
  <c r="BX31" i="17"/>
  <c r="P31" i="70"/>
  <c r="P28" i="56"/>
  <c r="T28" i="56" s="1"/>
  <c r="P27" i="70"/>
  <c r="N21" i="24"/>
  <c r="Q21" i="24" s="1"/>
  <c r="P51" i="70"/>
  <c r="B103" i="53" s="1"/>
  <c r="D103" i="53" s="1"/>
  <c r="BX51" i="17"/>
  <c r="BY51" i="17" s="1"/>
  <c r="B2781" i="53"/>
  <c r="D2781" i="53" s="1"/>
  <c r="B2811" i="53"/>
  <c r="D2811" i="53" s="1"/>
  <c r="B1178" i="53"/>
  <c r="D1178" i="53" s="1"/>
  <c r="BY36" i="17"/>
  <c r="Z6" i="70"/>
  <c r="B1214" i="53"/>
  <c r="B1243" i="53"/>
  <c r="B1833" i="53"/>
  <c r="D1833" i="53" s="1"/>
  <c r="B771" i="53"/>
  <c r="D771" i="53" s="1"/>
  <c r="T36" i="70"/>
  <c r="AA6" i="70"/>
  <c r="B1211" i="53"/>
  <c r="B1240" i="53"/>
  <c r="B1236" i="53"/>
  <c r="D1236" i="53" s="1"/>
  <c r="B1207" i="53"/>
  <c r="D1207" i="53" s="1"/>
  <c r="B1443" i="53"/>
  <c r="B1473" i="53"/>
  <c r="B595" i="53"/>
  <c r="B220" i="53"/>
  <c r="D220" i="53" s="1"/>
  <c r="D224" i="53" s="1"/>
  <c r="T13" i="70"/>
  <c r="B800" i="53"/>
  <c r="D800" i="53" s="1"/>
  <c r="T37" i="70"/>
  <c r="B1863" i="53"/>
  <c r="D1863" i="53" s="1"/>
  <c r="B1175" i="53"/>
  <c r="B2808" i="53"/>
  <c r="B2778" i="53"/>
  <c r="B421" i="53"/>
  <c r="B450" i="53"/>
  <c r="B2213" i="53"/>
  <c r="D2213" i="53" s="1"/>
  <c r="B917" i="53"/>
  <c r="D917" i="53" s="1"/>
  <c r="B2010" i="53"/>
  <c r="D2010" i="53" s="1"/>
  <c r="BY30" i="17"/>
  <c r="B372" i="53"/>
  <c r="Z23" i="70"/>
  <c r="B1234" i="53"/>
  <c r="B1205" i="53"/>
  <c r="B2661" i="53"/>
  <c r="D2661" i="53" s="1"/>
  <c r="B2691" i="53"/>
  <c r="D2691" i="53" s="1"/>
  <c r="B16" i="53"/>
  <c r="D16" i="53" s="1"/>
  <c r="B1033" i="53"/>
  <c r="D1033" i="53" s="1"/>
  <c r="P72" i="56"/>
  <c r="T72" i="56" s="1"/>
  <c r="P16" i="70"/>
  <c r="B394" i="53"/>
  <c r="D394" i="53" s="1"/>
  <c r="T24" i="70"/>
  <c r="B398" i="53" s="1"/>
  <c r="B44" i="53"/>
  <c r="D44" i="53" s="1"/>
  <c r="B568" i="53"/>
  <c r="D568" i="53" s="1"/>
  <c r="D572" i="53" s="1"/>
  <c r="B1415" i="53"/>
  <c r="D1415" i="53" s="1"/>
  <c r="B1385" i="53"/>
  <c r="D1385" i="53" s="1"/>
  <c r="T30" i="70"/>
  <c r="B887" i="53"/>
  <c r="D887" i="53" s="1"/>
  <c r="T41" i="70"/>
  <c r="B1980" i="53"/>
  <c r="D1980" i="53" s="1"/>
  <c r="B1032" i="53"/>
  <c r="D1032" i="53" s="1"/>
  <c r="B2690" i="53"/>
  <c r="D2690" i="53" s="1"/>
  <c r="B2660" i="53"/>
  <c r="D2660" i="53" s="1"/>
  <c r="T14" i="70"/>
  <c r="B1001" i="53"/>
  <c r="B2123" i="53"/>
  <c r="B2418" i="53"/>
  <c r="B2448" i="53"/>
  <c r="D2454" i="53" s="1"/>
  <c r="B2721" i="53"/>
  <c r="D2721" i="53" s="1"/>
  <c r="B2751" i="53"/>
  <c r="D2751" i="53" s="1"/>
  <c r="B1149" i="53"/>
  <c r="D1149" i="53" s="1"/>
  <c r="B1062" i="53"/>
  <c r="D1062" i="53" s="1"/>
  <c r="Z8" i="70"/>
  <c r="B1594" i="53"/>
  <c r="D1594" i="53" s="1"/>
  <c r="D1598" i="53" s="1"/>
  <c r="B1624" i="53"/>
  <c r="D1624" i="53" s="1"/>
  <c r="T33" i="70"/>
  <c r="B655" i="53"/>
  <c r="D655" i="53" s="1"/>
  <c r="T50" i="70"/>
  <c r="B2570" i="53"/>
  <c r="D2570" i="53" s="1"/>
  <c r="D2574" i="53" s="1"/>
  <c r="B2540" i="53"/>
  <c r="D2540" i="53" s="1"/>
  <c r="D2544" i="53" s="1"/>
  <c r="B2183" i="53"/>
  <c r="D2183" i="53" s="1"/>
  <c r="D2187" i="53" s="1"/>
  <c r="B1010" i="53"/>
  <c r="B2427" i="53"/>
  <c r="Z48" i="70"/>
  <c r="B2457" i="53"/>
  <c r="B2132" i="53"/>
  <c r="B1711" i="53"/>
  <c r="D1717" i="53" s="1"/>
  <c r="B1741" i="53"/>
  <c r="D1747" i="53" s="1"/>
  <c r="B711" i="53"/>
  <c r="B539" i="53"/>
  <c r="D539" i="53" s="1"/>
  <c r="D543" i="53" s="1"/>
  <c r="T29" i="70"/>
  <c r="B1326" i="53"/>
  <c r="D1326" i="53" s="1"/>
  <c r="B1355" i="53"/>
  <c r="D1355" i="53" s="1"/>
  <c r="BY24" i="17"/>
  <c r="B1061" i="53"/>
  <c r="D1061" i="53" s="1"/>
  <c r="B1148" i="53"/>
  <c r="D1148" i="53" s="1"/>
  <c r="T15" i="70"/>
  <c r="B2720" i="53"/>
  <c r="D2720" i="53" s="1"/>
  <c r="B2750" i="53"/>
  <c r="D2750" i="53" s="1"/>
  <c r="B1505" i="53"/>
  <c r="D1505" i="53" s="1"/>
  <c r="B1564" i="53"/>
  <c r="D1564" i="53" s="1"/>
  <c r="T32" i="70"/>
  <c r="B626" i="53"/>
  <c r="D626" i="53" s="1"/>
  <c r="BY33" i="17"/>
  <c r="B688" i="53"/>
  <c r="B1687" i="53"/>
  <c r="B1657" i="53"/>
  <c r="B546" i="53"/>
  <c r="B1333" i="53"/>
  <c r="Z29" i="70"/>
  <c r="B1362" i="53"/>
  <c r="B1117" i="53"/>
  <c r="B2927" i="53"/>
  <c r="B2897" i="53"/>
  <c r="B488" i="53"/>
  <c r="Z27" i="70"/>
  <c r="AC31" i="56"/>
  <c r="AI31" i="56" s="1"/>
  <c r="AJ31" i="56" s="1"/>
  <c r="B2906" i="53"/>
  <c r="B2936" i="53"/>
  <c r="Z52" i="70"/>
  <c r="B1126" i="53"/>
  <c r="AP45" i="25"/>
  <c r="X44" i="70" s="1"/>
  <c r="B80" i="53" s="1"/>
  <c r="B101" i="53"/>
  <c r="Z25" i="70"/>
  <c r="B430" i="53"/>
  <c r="N44" i="70"/>
  <c r="B71" i="53" s="1"/>
  <c r="D77" i="53" s="1"/>
  <c r="B2597" i="53"/>
  <c r="B2627" i="53"/>
  <c r="T44" i="70"/>
  <c r="B77" i="53" s="1"/>
  <c r="AC11" i="24"/>
  <c r="AC10" i="24" s="1"/>
  <c r="AC6" i="24"/>
  <c r="AC5" i="24" s="1"/>
  <c r="AB5" i="24"/>
  <c r="AB33" i="24"/>
  <c r="AC34" i="24"/>
  <c r="AC33" i="24" s="1"/>
  <c r="AJ13" i="56" l="1"/>
  <c r="AJ12" i="56" s="1"/>
  <c r="B1717" i="53"/>
  <c r="D717" i="53"/>
  <c r="D2129" i="53"/>
  <c r="D1007" i="53"/>
  <c r="B2129" i="53"/>
  <c r="AA48" i="70"/>
  <c r="B1007" i="53"/>
  <c r="B2454" i="53"/>
  <c r="D2992" i="53"/>
  <c r="D2158" i="53"/>
  <c r="D2424" i="53"/>
  <c r="B2480" i="53"/>
  <c r="D2480" i="53" s="1"/>
  <c r="D2484" i="53" s="1"/>
  <c r="T49" i="70"/>
  <c r="B2484" i="53" s="1"/>
  <c r="B2510" i="53"/>
  <c r="D2510" i="53" s="1"/>
  <c r="D2514" i="53" s="1"/>
  <c r="B15" i="53"/>
  <c r="D15" i="53" s="1"/>
  <c r="D19" i="53" s="1"/>
  <c r="B48" i="53"/>
  <c r="D1538" i="53"/>
  <c r="B1538" i="53"/>
  <c r="X21" i="70"/>
  <c r="B314" i="53" s="1"/>
  <c r="B2962" i="53"/>
  <c r="B2992" i="53"/>
  <c r="D2962" i="53"/>
  <c r="D107" i="53"/>
  <c r="AJ80" i="56"/>
  <c r="AC28" i="56"/>
  <c r="AI28" i="56" s="1"/>
  <c r="AJ28" i="56" s="1"/>
  <c r="AC18" i="24"/>
  <c r="AC17" i="24" s="1"/>
  <c r="AC52" i="24" s="1"/>
  <c r="Y21" i="24"/>
  <c r="AB21" i="24" s="1"/>
  <c r="AC21" i="24" s="1"/>
  <c r="W37" i="56"/>
  <c r="AI24" i="56"/>
  <c r="AI80" i="56" s="1"/>
  <c r="AB13" i="24"/>
  <c r="AB52" i="24" s="1"/>
  <c r="D2664" i="53"/>
  <c r="D1568" i="53"/>
  <c r="D630" i="53"/>
  <c r="D1509" i="53"/>
  <c r="D398" i="53"/>
  <c r="D659" i="53"/>
  <c r="B2846" i="53"/>
  <c r="D891" i="53"/>
  <c r="Z45" i="70"/>
  <c r="B2876" i="53"/>
  <c r="D1896" i="53"/>
  <c r="D1955" i="53"/>
  <c r="D2276" i="53"/>
  <c r="D2042" i="53"/>
  <c r="D2246" i="53"/>
  <c r="B253" i="53"/>
  <c r="D427" i="53"/>
  <c r="D775" i="53"/>
  <c r="D1270" i="53"/>
  <c r="D1628" i="53"/>
  <c r="D1389" i="53"/>
  <c r="B1270" i="53"/>
  <c r="D1330" i="53"/>
  <c r="B2837" i="53"/>
  <c r="B1088" i="53"/>
  <c r="D1211" i="53"/>
  <c r="B285" i="53"/>
  <c r="B1300" i="53"/>
  <c r="D1984" i="53"/>
  <c r="D1837" i="53"/>
  <c r="D804" i="53"/>
  <c r="D1419" i="53"/>
  <c r="B1955" i="53"/>
  <c r="B949" i="53"/>
  <c r="B2276" i="53"/>
  <c r="B2042" i="53"/>
  <c r="B1896" i="53"/>
  <c r="B2246" i="53"/>
  <c r="D48" i="53"/>
  <c r="D2754" i="53"/>
  <c r="D2724" i="53"/>
  <c r="B2158" i="53"/>
  <c r="B2514" i="53"/>
  <c r="D1359" i="53"/>
  <c r="B2869" i="53"/>
  <c r="D2869" i="53" s="1"/>
  <c r="D2873" i="53" s="1"/>
  <c r="B2839" i="53"/>
  <c r="D2839" i="53" s="1"/>
  <c r="B1090" i="53"/>
  <c r="D1090" i="53" s="1"/>
  <c r="D1867" i="53"/>
  <c r="BY28" i="17"/>
  <c r="B2929" i="53"/>
  <c r="D2929" i="53" s="1"/>
  <c r="D2933" i="53" s="1"/>
  <c r="B1119" i="53"/>
  <c r="D1119" i="53" s="1"/>
  <c r="D1123" i="53" s="1"/>
  <c r="B2899" i="53"/>
  <c r="D2899" i="53" s="1"/>
  <c r="D2903" i="53" s="1"/>
  <c r="T52" i="70"/>
  <c r="D2694" i="53"/>
  <c r="B305" i="53"/>
  <c r="D311" i="53" s="1"/>
  <c r="D1240" i="53"/>
  <c r="D456" i="53"/>
  <c r="T26" i="70"/>
  <c r="B456" i="53" s="1"/>
  <c r="B343" i="53"/>
  <c r="Z22" i="70"/>
  <c r="B481" i="53"/>
  <c r="D481" i="53" s="1"/>
  <c r="D485" i="53" s="1"/>
  <c r="T27" i="70"/>
  <c r="B485" i="53" s="1"/>
  <c r="B597" i="53"/>
  <c r="D597" i="53" s="1"/>
  <c r="D601" i="53" s="1"/>
  <c r="B1475" i="53"/>
  <c r="D1475" i="53" s="1"/>
  <c r="D1479" i="53" s="1"/>
  <c r="B1445" i="53"/>
  <c r="D1445" i="53" s="1"/>
  <c r="D1449" i="53" s="1"/>
  <c r="T31" i="70"/>
  <c r="B2391" i="53"/>
  <c r="D2391" i="53" s="1"/>
  <c r="D2395" i="53" s="1"/>
  <c r="B2361" i="53"/>
  <c r="D2361" i="53" s="1"/>
  <c r="D2365" i="53" s="1"/>
  <c r="B2096" i="53"/>
  <c r="D2096" i="53" s="1"/>
  <c r="D2100" i="53" s="1"/>
  <c r="B974" i="53"/>
  <c r="D974" i="53" s="1"/>
  <c r="D978" i="53" s="1"/>
  <c r="T43" i="70"/>
  <c r="D1065" i="53"/>
  <c r="BY31" i="17"/>
  <c r="B365" i="53"/>
  <c r="D365" i="53" s="1"/>
  <c r="D369" i="53" s="1"/>
  <c r="T23" i="70"/>
  <c r="B369" i="53" s="1"/>
  <c r="B829" i="53"/>
  <c r="D829" i="53" s="1"/>
  <c r="D833" i="53" s="1"/>
  <c r="T39" i="70"/>
  <c r="BY27" i="17"/>
  <c r="BY23" i="17"/>
  <c r="B775" i="53"/>
  <c r="B1837" i="53"/>
  <c r="B2780" i="53"/>
  <c r="D2780" i="53" s="1"/>
  <c r="D2784" i="53" s="1"/>
  <c r="B1177" i="53"/>
  <c r="D1177" i="53" s="1"/>
  <c r="D1181" i="53" s="1"/>
  <c r="T51" i="70"/>
  <c r="B107" i="53" s="1"/>
  <c r="B2810" i="53"/>
  <c r="D2810" i="53" s="1"/>
  <c r="D2814" i="53" s="1"/>
  <c r="B1216" i="53"/>
  <c r="AF6" i="70"/>
  <c r="B1245" i="53"/>
  <c r="D1152" i="53"/>
  <c r="B224" i="53"/>
  <c r="B804" i="53"/>
  <c r="B1867" i="53"/>
  <c r="B2724" i="53"/>
  <c r="B1065" i="53"/>
  <c r="B1152" i="53"/>
  <c r="B2754" i="53"/>
  <c r="B2574" i="53"/>
  <c r="B2544" i="53"/>
  <c r="B2187" i="53"/>
  <c r="B1419" i="53"/>
  <c r="B1389" i="53"/>
  <c r="B572" i="53"/>
  <c r="Z21" i="70"/>
  <c r="B2664" i="53"/>
  <c r="B19" i="53"/>
  <c r="B2694" i="53"/>
  <c r="B1036" i="53"/>
  <c r="D1036" i="53"/>
  <c r="B1628" i="53"/>
  <c r="B1598" i="53"/>
  <c r="B659" i="53"/>
  <c r="B891" i="53"/>
  <c r="B1984" i="53"/>
  <c r="B630" i="53"/>
  <c r="B1568" i="53"/>
  <c r="B1509" i="53"/>
  <c r="B1359" i="53"/>
  <c r="B543" i="53"/>
  <c r="B1330" i="53"/>
  <c r="B2459" i="53"/>
  <c r="B1012" i="53"/>
  <c r="AF48" i="70"/>
  <c r="B2134" i="53"/>
  <c r="B2429" i="53"/>
  <c r="B2212" i="53"/>
  <c r="D2212" i="53" s="1"/>
  <c r="D2216" i="53" s="1"/>
  <c r="B2009" i="53"/>
  <c r="D2009" i="53" s="1"/>
  <c r="D2013" i="53" s="1"/>
  <c r="B916" i="53"/>
  <c r="D916" i="53" s="1"/>
  <c r="D920" i="53" s="1"/>
  <c r="T16" i="70"/>
  <c r="Z44" i="70"/>
  <c r="B2637" i="53"/>
  <c r="B2607" i="53"/>
  <c r="B2628" i="53"/>
  <c r="D2634" i="53" s="1"/>
  <c r="B2598" i="53"/>
  <c r="D2604" i="53" s="1"/>
  <c r="B2634" i="53"/>
  <c r="B2604" i="53"/>
  <c r="AJ6" i="70" l="1"/>
  <c r="D1094" i="53"/>
  <c r="D2843" i="53"/>
  <c r="B1094" i="53"/>
  <c r="B2843" i="53"/>
  <c r="B2873" i="53"/>
  <c r="B2933" i="53"/>
  <c r="B1123" i="53"/>
  <c r="B2903" i="53"/>
  <c r="B2365" i="53"/>
  <c r="B2395" i="53"/>
  <c r="B2100" i="53"/>
  <c r="B978" i="53"/>
  <c r="B1479" i="53"/>
  <c r="B1449" i="53"/>
  <c r="B601" i="53"/>
  <c r="B833" i="53"/>
  <c r="B1181" i="53"/>
  <c r="B2814" i="53"/>
  <c r="B2784" i="53"/>
  <c r="AK6" i="70"/>
  <c r="AJ48" i="70"/>
  <c r="AK48" i="70"/>
  <c r="B2013" i="53"/>
  <c r="B920" i="53"/>
  <c r="B2216" i="53"/>
  <c r="B1222" i="53" l="1"/>
  <c r="B1251" i="53"/>
  <c r="B2140" i="53"/>
  <c r="B2435" i="53"/>
  <c r="B1018" i="53"/>
  <c r="B2465" i="53"/>
  <c r="AN95" i="6"/>
  <c r="AL93" i="6"/>
  <c r="AO92" i="6"/>
  <c r="AL94" i="6"/>
  <c r="AN96" i="6"/>
  <c r="AN94" i="6"/>
  <c r="AM96" i="6"/>
  <c r="AO94" i="6"/>
  <c r="AM94" i="6"/>
  <c r="AL92" i="6"/>
  <c r="AM93" i="6"/>
  <c r="AN93" i="6"/>
  <c r="AM95" i="6"/>
  <c r="AL95" i="6"/>
  <c r="AM92" i="6"/>
  <c r="AO96" i="6"/>
  <c r="AN92" i="6"/>
  <c r="AO93" i="6"/>
  <c r="AO95" i="6"/>
  <c r="AL96" i="6"/>
  <c r="AL98" i="6" s="1"/>
  <c r="AL54" i="6"/>
  <c r="BC58" i="6"/>
  <c r="AT72" i="6"/>
  <c r="AY59" i="6"/>
  <c r="BA61" i="6"/>
  <c r="AT75" i="6"/>
  <c r="BB79" i="6"/>
  <c r="AT67" i="6"/>
  <c r="BA76" i="6"/>
  <c r="AS64" i="6"/>
  <c r="AT71" i="6"/>
  <c r="AY58" i="6"/>
  <c r="BA72" i="6"/>
  <c r="AX79" i="6"/>
  <c r="AX71" i="6"/>
  <c r="BC68" i="6"/>
  <c r="BB76" i="6"/>
  <c r="BA70" i="6"/>
  <c r="AZ59" i="6"/>
  <c r="BB56" i="6"/>
  <c r="AU70" i="6"/>
  <c r="BC74" i="6"/>
  <c r="AU62" i="6"/>
  <c r="AS76" i="6"/>
  <c r="AX63" i="6"/>
  <c r="AT56" i="6"/>
  <c r="AU74" i="6"/>
  <c r="BB73" i="6"/>
  <c r="BB63" i="6"/>
  <c r="AS77" i="6"/>
  <c r="AW65" i="6"/>
  <c r="BC78" i="6"/>
  <c r="BC62" i="6"/>
  <c r="AY68" i="6"/>
  <c r="BB65" i="6"/>
  <c r="AQ70" i="6"/>
  <c r="AV57" i="6"/>
  <c r="BC66" i="6"/>
  <c r="AU54" i="6"/>
  <c r="AV61" i="6"/>
  <c r="AZ74" i="6"/>
  <c r="AQ79" i="6"/>
  <c r="AR73" i="6"/>
  <c r="AW60" i="6"/>
  <c r="AR65" i="6"/>
  <c r="AV78" i="6"/>
  <c r="BC75" i="6"/>
  <c r="BC67" i="6"/>
  <c r="AS65" i="6"/>
  <c r="BA67" i="6"/>
  <c r="AZ73" i="6"/>
  <c r="AR61" i="6"/>
  <c r="AQ62" i="6"/>
  <c r="AU75" i="6"/>
  <c r="AQ76" i="6"/>
  <c r="BA65" i="6"/>
  <c r="AX69" i="6"/>
  <c r="BA68" i="6"/>
  <c r="AS56" i="6"/>
  <c r="AU58" i="6"/>
  <c r="AY71" i="6"/>
  <c r="BB59" i="6"/>
  <c r="BA77" i="6"/>
  <c r="AT60" i="6"/>
  <c r="BA78" i="6"/>
  <c r="AR62" i="6"/>
  <c r="BC59" i="6"/>
  <c r="AV73" i="6"/>
  <c r="AQ59" i="6"/>
  <c r="AS69" i="6"/>
  <c r="AY78" i="6"/>
  <c r="AQ66" i="6"/>
  <c r="AS68" i="6"/>
  <c r="AX55" i="6"/>
  <c r="AS60" i="6"/>
  <c r="AW73" i="6"/>
  <c r="AR57" i="6"/>
  <c r="AV70" i="6"/>
  <c r="BA57" i="6"/>
  <c r="AU59" i="6"/>
  <c r="AR66" i="6"/>
  <c r="AR58" i="6"/>
  <c r="AW56" i="6"/>
  <c r="BA69" i="6"/>
  <c r="AS57" i="6"/>
  <c r="BB71" i="6"/>
  <c r="AT59" i="6"/>
  <c r="BA54" i="6"/>
  <c r="AY63" i="6"/>
  <c r="AR77" i="6"/>
  <c r="AX60" i="6"/>
  <c r="AQ74" i="6"/>
  <c r="AZ65" i="6"/>
  <c r="AQ56" i="6"/>
  <c r="AR94" i="6"/>
  <c r="AR95" i="6"/>
  <c r="AR96" i="6"/>
  <c r="BB55" i="6"/>
  <c r="BB64" i="6"/>
  <c r="AU78" i="6"/>
  <c r="AZ70" i="6"/>
  <c r="BC79" i="6"/>
  <c r="BA73" i="6"/>
  <c r="BB60" i="6"/>
  <c r="AT63" i="6"/>
  <c r="AX76" i="6"/>
  <c r="AT55" i="6"/>
  <c r="AX68" i="6"/>
  <c r="BC55" i="6"/>
  <c r="AZ69" i="6"/>
  <c r="AZ61" i="6"/>
  <c r="AS54" i="6"/>
  <c r="BA58" i="6"/>
  <c r="AW57" i="6"/>
  <c r="BC70" i="6"/>
  <c r="AX75" i="6"/>
  <c r="AX56" i="6"/>
  <c r="AQ67" i="6"/>
  <c r="AT94" i="6"/>
  <c r="AT95" i="6"/>
  <c r="AT96" i="6"/>
  <c r="AQ55" i="6"/>
  <c r="AW68" i="6"/>
  <c r="AU96" i="6"/>
  <c r="AZ66" i="6"/>
  <c r="AR54" i="6"/>
  <c r="AZ58" i="6"/>
  <c r="AS72" i="6"/>
  <c r="AY62" i="6"/>
  <c r="AY54" i="6"/>
  <c r="AU55" i="6"/>
  <c r="AQ64" i="6"/>
  <c r="AQ54" i="6"/>
  <c r="AU67" i="6"/>
  <c r="AZ54" i="6"/>
  <c r="AY55" i="6"/>
  <c r="AR69" i="6"/>
  <c r="AY64" i="6"/>
  <c r="AR74" i="6"/>
  <c r="AV62" i="6"/>
  <c r="BB75" i="6"/>
  <c r="AQ78" i="6"/>
  <c r="AV65" i="6"/>
  <c r="AW72" i="6"/>
  <c r="AW64" i="6"/>
  <c r="AR59" i="6"/>
  <c r="AZ63" i="6"/>
  <c r="BC60" i="6"/>
  <c r="AU71" i="6"/>
  <c r="AQ95" i="6"/>
  <c r="AQ96" i="6"/>
  <c r="AU66" i="6"/>
  <c r="AY79" i="6"/>
  <c r="AX93" i="6"/>
  <c r="AX94" i="6"/>
  <c r="AX95" i="6"/>
  <c r="AX96" i="6"/>
  <c r="BA60" i="6"/>
  <c r="AX59" i="6"/>
  <c r="AY75" i="6"/>
  <c r="AX64" i="6"/>
  <c r="AV60" i="6"/>
  <c r="BA74" i="6"/>
  <c r="AZ72" i="6"/>
  <c r="BA66" i="6"/>
  <c r="BB81" i="6"/>
  <c r="AR70" i="6"/>
  <c r="BB68" i="6"/>
  <c r="AY74" i="6"/>
  <c r="AU76" i="6"/>
  <c r="AW58" i="6"/>
  <c r="AT77" i="6"/>
  <c r="AR79" i="6"/>
  <c r="BC71" i="6"/>
  <c r="AZ57" i="6"/>
  <c r="AW76" i="6"/>
  <c r="AU95" i="6"/>
  <c r="BC63" i="6"/>
  <c r="AX92" i="6"/>
  <c r="AW66" i="6"/>
  <c r="BB57" i="6"/>
  <c r="AS75" i="6"/>
  <c r="BA64" i="6"/>
  <c r="BC57" i="6"/>
  <c r="AU63" i="6"/>
  <c r="AS73" i="6"/>
  <c r="AU65" i="6"/>
  <c r="BB78" i="6"/>
  <c r="AQ57" i="6"/>
  <c r="AX65" i="6"/>
  <c r="BC61" i="6"/>
  <c r="BA55" i="6"/>
  <c r="BC88" i="6"/>
  <c r="AX73" i="6"/>
  <c r="AQ72" i="6"/>
  <c r="AX57" i="6"/>
  <c r="AT65" i="6"/>
  <c r="BC56" i="6"/>
  <c r="AW83" i="6"/>
  <c r="AT68" i="6"/>
  <c r="AQ75" i="6"/>
  <c r="BA62" i="6"/>
  <c r="AR71" i="6"/>
  <c r="AV77" i="6"/>
  <c r="AZ62" i="6"/>
  <c r="AU68" i="6"/>
  <c r="BB72" i="6"/>
  <c r="AT73" i="6"/>
  <c r="AS61" i="6"/>
  <c r="AY56" i="6"/>
  <c r="AX67" i="6"/>
  <c r="AQ92" i="6"/>
  <c r="AQ93" i="6"/>
  <c r="AQ94" i="6"/>
  <c r="BB67" i="6"/>
  <c r="AY66" i="6"/>
  <c r="AW78" i="6"/>
  <c r="AR75" i="6"/>
  <c r="BB61" i="6"/>
  <c r="AV88" i="6"/>
  <c r="AZ67" i="6"/>
  <c r="AY70" i="6"/>
  <c r="AV58" i="6"/>
  <c r="AT57" i="6"/>
  <c r="BB62" i="6"/>
  <c r="AZ78" i="6"/>
  <c r="AW62" i="6"/>
  <c r="AT70" i="6"/>
  <c r="AR55" i="6"/>
  <c r="AT69" i="6"/>
  <c r="AZ89" i="6"/>
  <c r="AX81" i="6"/>
  <c r="AS71" i="6"/>
  <c r="AV76" i="6"/>
  <c r="AZ64" i="6"/>
  <c r="AV71" i="6"/>
  <c r="AV63" i="6"/>
  <c r="AR78" i="6"/>
  <c r="AS78" i="6"/>
  <c r="BB69" i="6"/>
  <c r="AS74" i="6"/>
  <c r="AU82" i="6"/>
  <c r="AZ75" i="6"/>
  <c r="AZ95" i="6"/>
  <c r="AZ96" i="6"/>
  <c r="AU56" i="6"/>
  <c r="AT76" i="6"/>
  <c r="AY72" i="6"/>
  <c r="AV66" i="6"/>
  <c r="AW55" i="6"/>
  <c r="AQ69" i="6"/>
  <c r="AR93" i="6"/>
  <c r="AR92" i="6"/>
  <c r="AZ77" i="6"/>
  <c r="BA56" i="6"/>
  <c r="AZ93" i="6"/>
  <c r="AZ94" i="6"/>
  <c r="BC76" i="6"/>
  <c r="AV67" i="6"/>
  <c r="AT64" i="6"/>
  <c r="AV69" i="6"/>
  <c r="AW69" i="6"/>
  <c r="AW74" i="6"/>
  <c r="BC54" i="6"/>
  <c r="AY67" i="6"/>
  <c r="AV54" i="6"/>
  <c r="AT79" i="6"/>
  <c r="AT61" i="6"/>
  <c r="AV55" i="6"/>
  <c r="AX72" i="6"/>
  <c r="AX66" i="6"/>
  <c r="AQ71" i="6"/>
  <c r="AX61" i="6"/>
  <c r="AR67" i="6"/>
  <c r="AU72" i="6"/>
  <c r="AY76" i="6"/>
  <c r="AU85" i="6"/>
  <c r="AU89" i="6"/>
  <c r="BC90" i="6"/>
  <c r="AY82" i="6"/>
  <c r="AR86" i="6"/>
  <c r="AV94" i="6"/>
  <c r="AV95" i="6"/>
  <c r="AV96" i="6"/>
  <c r="AU94" i="6"/>
  <c r="AU92" i="6"/>
  <c r="AU93" i="6"/>
  <c r="AU69" i="6"/>
  <c r="BB94" i="6"/>
  <c r="BB95" i="6"/>
  <c r="BB96" i="6"/>
  <c r="AS70" i="6"/>
  <c r="AV59" i="6"/>
  <c r="AR64" i="6"/>
  <c r="AZ80" i="6"/>
  <c r="AW61" i="6"/>
  <c r="AS59" i="6"/>
  <c r="AT90" i="6"/>
  <c r="AZ55" i="6"/>
  <c r="AX86" i="6"/>
  <c r="AQ85" i="6"/>
  <c r="AY57" i="6"/>
  <c r="AV83" i="6"/>
  <c r="BC86" i="6"/>
  <c r="AN54" i="6"/>
  <c r="AF42" i="6"/>
  <c r="AF89" i="6" s="1"/>
  <c r="AR72" i="6"/>
  <c r="AL6" i="6"/>
  <c r="AL53" i="6" s="1"/>
  <c r="AO75" i="6"/>
  <c r="AW71" i="6"/>
  <c r="AR88" i="6"/>
  <c r="AX62" i="6"/>
  <c r="AM54" i="6"/>
  <c r="V63" i="6"/>
  <c r="V16" i="6"/>
  <c r="H14" i="6"/>
  <c r="H61" i="6"/>
  <c r="AU83" i="6"/>
  <c r="AS79" i="6"/>
  <c r="AY86" i="6"/>
  <c r="AZ79" i="6"/>
  <c r="AY85" i="6"/>
  <c r="AO54" i="6"/>
  <c r="AV75" i="6"/>
  <c r="BB87" i="6"/>
  <c r="AQ77" i="6"/>
  <c r="AL68" i="6"/>
  <c r="AZ85" i="6"/>
  <c r="AL72" i="6"/>
  <c r="BC77" i="6"/>
  <c r="AV82" i="6"/>
  <c r="AL88" i="6"/>
  <c r="W25" i="6"/>
  <c r="W72" i="6" s="1"/>
  <c r="AB41" i="6"/>
  <c r="AB88" i="6" s="1"/>
  <c r="AV79" i="6"/>
  <c r="AR68" i="6"/>
  <c r="BA83" i="6"/>
  <c r="AO90" i="6"/>
  <c r="AQ81" i="6"/>
  <c r="BB66" i="6"/>
  <c r="AW70" i="6"/>
  <c r="AW80" i="6"/>
  <c r="AC28" i="6"/>
  <c r="AC75" i="6" s="1"/>
  <c r="AM79" i="6"/>
  <c r="Z25" i="6"/>
  <c r="Z72" i="6" s="1"/>
  <c r="S27" i="6"/>
  <c r="S74" i="6" s="1"/>
  <c r="AZ71" i="6"/>
  <c r="AT92" i="6"/>
  <c r="AT93" i="6"/>
  <c r="AQ63" i="6"/>
  <c r="BB93" i="6"/>
  <c r="BB92" i="6"/>
  <c r="AX77" i="6"/>
  <c r="AS84" i="6"/>
  <c r="AO57" i="6"/>
  <c r="AS62" i="6"/>
  <c r="AU61" i="6"/>
  <c r="AM67" i="6"/>
  <c r="AW6" i="6"/>
  <c r="AW53" i="6" s="1"/>
  <c r="AY88" i="6"/>
  <c r="AX83" i="6"/>
  <c r="AL71" i="6"/>
  <c r="AX89" i="6"/>
  <c r="BA80" i="6"/>
  <c r="AY83" i="6"/>
  <c r="AZ68" i="6"/>
  <c r="AW84" i="6"/>
  <c r="AS6" i="6"/>
  <c r="AS53" i="6" s="1"/>
  <c r="AV81" i="6"/>
  <c r="W43" i="6"/>
  <c r="W90" i="6" s="1"/>
  <c r="AQ60" i="6"/>
  <c r="AW96" i="6"/>
  <c r="AW92" i="6"/>
  <c r="AW93" i="6"/>
  <c r="AW94" i="6"/>
  <c r="AW95" i="6"/>
  <c r="AQ58" i="6"/>
  <c r="AW59" i="6"/>
  <c r="AS88" i="6"/>
  <c r="AV92" i="6"/>
  <c r="AV93" i="6"/>
  <c r="BC95" i="6"/>
  <c r="BC96" i="6"/>
  <c r="AS66" i="6"/>
  <c r="AQ80" i="6"/>
  <c r="AU64" i="6"/>
  <c r="BA84" i="6"/>
  <c r="AR89" i="6"/>
  <c r="AT82" i="6"/>
  <c r="AX90" i="6"/>
  <c r="BB74" i="6"/>
  <c r="AO89" i="6"/>
  <c r="AQ82" i="6"/>
  <c r="BB84" i="6"/>
  <c r="AW90" i="6"/>
  <c r="AW77" i="6"/>
  <c r="AR84" i="6"/>
  <c r="AY80" i="6"/>
  <c r="AO64" i="6"/>
  <c r="BA87" i="6"/>
  <c r="AW67" i="6"/>
  <c r="AY81" i="6"/>
  <c r="AZ92" i="6"/>
  <c r="AM63" i="6"/>
  <c r="AW79" i="6"/>
  <c r="AL64" i="6"/>
  <c r="AM72" i="6"/>
  <c r="AQ65" i="6"/>
  <c r="BC81" i="6"/>
  <c r="AV64" i="6"/>
  <c r="AM80" i="6"/>
  <c r="BW7" i="6"/>
  <c r="BW54" i="6" s="1"/>
  <c r="AL69" i="6"/>
  <c r="AU60" i="6"/>
  <c r="AW54" i="6"/>
  <c r="BC85" i="6"/>
  <c r="AZ76" i="6"/>
  <c r="BC72" i="6"/>
  <c r="AV85" i="6"/>
  <c r="AT83" i="6"/>
  <c r="BB6" i="6"/>
  <c r="BB53" i="6" s="1"/>
  <c r="AZ56" i="6"/>
  <c r="BA59" i="6"/>
  <c r="BC87" i="6"/>
  <c r="AE27" i="6"/>
  <c r="AE74" i="6"/>
  <c r="AT74" i="6"/>
  <c r="AY77" i="6"/>
  <c r="AG12" i="6"/>
  <c r="AG59" i="6" s="1"/>
  <c r="AS58" i="6"/>
  <c r="AQ89" i="6"/>
  <c r="AV56" i="6"/>
  <c r="X47" i="6"/>
  <c r="X94" i="6" s="1"/>
  <c r="BC89" i="6"/>
  <c r="AT81" i="6"/>
  <c r="AX80" i="6"/>
  <c r="AW82" i="6"/>
  <c r="AY65" i="6"/>
  <c r="AN70" i="6"/>
  <c r="AT88" i="6"/>
  <c r="Q24" i="6"/>
  <c r="Q71" i="6" s="1"/>
  <c r="AE30" i="6"/>
  <c r="AE77" i="6" s="1"/>
  <c r="AE12" i="6"/>
  <c r="AE59" i="6" s="1"/>
  <c r="AJ19" i="6"/>
  <c r="AJ66" i="6" s="1"/>
  <c r="AC41" i="6"/>
  <c r="AC88" i="6" s="1"/>
  <c r="AN85" i="6"/>
  <c r="AX84" i="6"/>
  <c r="AH36" i="6"/>
  <c r="AH83" i="6" s="1"/>
  <c r="AG65" i="6"/>
  <c r="AG18" i="6"/>
  <c r="AN77" i="6"/>
  <c r="AO79" i="6"/>
  <c r="AH18" i="6"/>
  <c r="AH65" i="6" s="1"/>
  <c r="N60" i="6"/>
  <c r="N13" i="6"/>
  <c r="AS86" i="6"/>
  <c r="AS55" i="6"/>
  <c r="BA82" i="6"/>
  <c r="AI41" i="6"/>
  <c r="AI88" i="6" s="1"/>
  <c r="AT87" i="6"/>
  <c r="BB58" i="6"/>
  <c r="AS87" i="6"/>
  <c r="AY84" i="6"/>
  <c r="AQ68" i="6"/>
  <c r="BA71" i="6"/>
  <c r="AU57" i="6"/>
  <c r="AL59" i="6"/>
  <c r="AW75" i="6"/>
  <c r="AR87" i="6"/>
  <c r="AT58" i="6"/>
  <c r="AY69" i="6"/>
  <c r="V20" i="6"/>
  <c r="V67" i="6" s="1"/>
  <c r="AM83" i="6"/>
  <c r="BB85" i="6"/>
  <c r="AB22" i="6"/>
  <c r="AB69" i="6" s="1"/>
  <c r="AM76" i="6"/>
  <c r="AV6" i="6"/>
  <c r="AV53" i="6" s="1"/>
  <c r="AL56" i="6"/>
  <c r="AJ32" i="6"/>
  <c r="AJ79" i="6" s="1"/>
  <c r="AA23" i="6"/>
  <c r="AA70" i="6" s="1"/>
  <c r="AN64" i="6"/>
  <c r="AR56" i="6"/>
  <c r="BA89" i="6"/>
  <c r="AW88" i="6"/>
  <c r="BA88" i="6"/>
  <c r="BJ36" i="6"/>
  <c r="BJ83" i="6" s="1"/>
  <c r="AS93" i="6"/>
  <c r="AS94" i="6"/>
  <c r="AS95" i="6"/>
  <c r="AS96" i="6"/>
  <c r="Y37" i="6"/>
  <c r="Y84" i="6" s="1"/>
  <c r="AJ38" i="6"/>
  <c r="AJ85" i="6"/>
  <c r="AF33" i="6"/>
  <c r="AF80" i="6" s="1"/>
  <c r="AH19" i="6"/>
  <c r="AH66" i="6" s="1"/>
  <c r="AM66" i="6"/>
  <c r="AY6" i="6"/>
  <c r="AY53" i="6" s="1"/>
  <c r="AD39" i="6"/>
  <c r="AD86" i="6" s="1"/>
  <c r="Y13" i="6"/>
  <c r="Y60" i="6" s="1"/>
  <c r="Z14" i="6"/>
  <c r="Z61" i="6" s="1"/>
  <c r="AM89" i="6"/>
  <c r="AM53" i="6"/>
  <c r="AS80" i="6"/>
  <c r="AO73" i="6"/>
  <c r="BB90" i="6"/>
  <c r="AZ81" i="6"/>
  <c r="BB77" i="6"/>
  <c r="AU90" i="6"/>
  <c r="AO60" i="6"/>
  <c r="AY61" i="6"/>
  <c r="AU86" i="6"/>
  <c r="AO80" i="6"/>
  <c r="AR80" i="6"/>
  <c r="AX88" i="6"/>
  <c r="AT62" i="6"/>
  <c r="AV89" i="6"/>
  <c r="AT86" i="6"/>
  <c r="AJ12" i="6"/>
  <c r="AJ59" i="6" s="1"/>
  <c r="AU73" i="6"/>
  <c r="AI11" i="6"/>
  <c r="AI58" i="6" s="1"/>
  <c r="AM90" i="6"/>
  <c r="AJ43" i="6"/>
  <c r="AJ90" i="6" s="1"/>
  <c r="AQ84" i="6"/>
  <c r="Q11" i="6"/>
  <c r="Q58" i="6" s="1"/>
  <c r="BA96" i="6"/>
  <c r="AR63" i="6"/>
  <c r="AZ83" i="6"/>
  <c r="AS67" i="6"/>
  <c r="AC10" i="6"/>
  <c r="AC57" i="6" s="1"/>
  <c r="V25" i="6"/>
  <c r="V72" i="6" s="1"/>
  <c r="W20" i="6"/>
  <c r="W67" i="6" s="1"/>
  <c r="V34" i="6"/>
  <c r="V81" i="6" s="1"/>
  <c r="AO55" i="6"/>
  <c r="AZ82" i="6"/>
  <c r="AM61" i="6"/>
  <c r="W8" i="6"/>
  <c r="W55" i="6" s="1"/>
  <c r="AF43" i="6"/>
  <c r="AF90" i="6" s="1"/>
  <c r="AL84" i="6"/>
  <c r="AF17" i="6"/>
  <c r="AF64" i="6" s="1"/>
  <c r="W27" i="6"/>
  <c r="W74" i="6" s="1"/>
  <c r="J76" i="6"/>
  <c r="J29" i="6"/>
  <c r="R19" i="6"/>
  <c r="R66" i="6" s="1"/>
  <c r="AT66" i="6"/>
  <c r="AL90" i="6"/>
  <c r="AB18" i="6"/>
  <c r="AB65" i="6" s="1"/>
  <c r="R11" i="6"/>
  <c r="R58" i="6" s="1"/>
  <c r="AX6" i="6"/>
  <c r="AX53" i="6" s="1"/>
  <c r="Y31" i="6"/>
  <c r="Y78" i="6" s="1"/>
  <c r="AU6" i="6"/>
  <c r="AU53" i="6" s="1"/>
  <c r="AW89" i="6"/>
  <c r="AB10" i="6"/>
  <c r="AB57" i="6" s="1"/>
  <c r="AM74" i="6"/>
  <c r="BC94" i="6"/>
  <c r="BC92" i="6"/>
  <c r="BC93" i="6"/>
  <c r="BC64" i="6"/>
  <c r="AU79" i="6"/>
  <c r="AV80" i="6"/>
  <c r="AV84" i="6"/>
  <c r="AR81" i="6"/>
  <c r="AQ73" i="6"/>
  <c r="AS81" i="6"/>
  <c r="AR85" i="6"/>
  <c r="AR76" i="6"/>
  <c r="BC84" i="6"/>
  <c r="AU81" i="6"/>
  <c r="AV74" i="6"/>
  <c r="BC82" i="6"/>
  <c r="BA81" i="6"/>
  <c r="AV90" i="6"/>
  <c r="AZ84" i="6"/>
  <c r="BC80" i="6"/>
  <c r="AS89" i="6"/>
  <c r="AI10" i="6"/>
  <c r="AI57" i="6" s="1"/>
  <c r="BB54" i="6"/>
  <c r="AX70" i="6"/>
  <c r="AW87" i="6"/>
  <c r="BC69" i="6"/>
  <c r="AX78" i="6"/>
  <c r="AN66" i="6"/>
  <c r="T23" i="6"/>
  <c r="T70" i="6"/>
  <c r="BE29" i="6"/>
  <c r="BE76" i="6" s="1"/>
  <c r="AR60" i="6"/>
  <c r="AA40" i="6"/>
  <c r="AA87" i="6" s="1"/>
  <c r="Q8" i="6"/>
  <c r="Q55" i="6"/>
  <c r="AT80" i="6"/>
  <c r="AL83" i="6"/>
  <c r="BC6" i="6"/>
  <c r="BC53" i="6" s="1"/>
  <c r="AN53" i="6"/>
  <c r="AV87" i="6"/>
  <c r="AL70" i="6"/>
  <c r="AD27" i="6"/>
  <c r="AD74" i="6" s="1"/>
  <c r="AG13" i="6"/>
  <c r="AG60" i="6" s="1"/>
  <c r="AQ90" i="6"/>
  <c r="AU77" i="6"/>
  <c r="BA79" i="6"/>
  <c r="AY60" i="6"/>
  <c r="BA63" i="6"/>
  <c r="AW86" i="6"/>
  <c r="AX54" i="6"/>
  <c r="AC21" i="6"/>
  <c r="AC68" i="6" s="1"/>
  <c r="AR83" i="6"/>
  <c r="AS63" i="6"/>
  <c r="AX74" i="6"/>
  <c r="AX87" i="6"/>
  <c r="AZ60" i="6"/>
  <c r="AQ88" i="6"/>
  <c r="AZ88" i="6"/>
  <c r="AI96" i="6"/>
  <c r="AI49" i="6"/>
  <c r="AN84" i="6"/>
  <c r="X22" i="6"/>
  <c r="X69" i="6" s="1"/>
  <c r="V14" i="6"/>
  <c r="V61" i="6" s="1"/>
  <c r="Z9" i="6"/>
  <c r="Z56" i="6" s="1"/>
  <c r="Y11" i="6"/>
  <c r="Y58" i="6" s="1"/>
  <c r="AB42" i="6"/>
  <c r="AB89" i="6" s="1"/>
  <c r="AJ11" i="6"/>
  <c r="AJ58" i="6" s="1"/>
  <c r="AN88" i="6"/>
  <c r="V74" i="6"/>
  <c r="V27" i="6"/>
  <c r="AI34" i="6"/>
  <c r="AI81" i="6" s="1"/>
  <c r="V43" i="6"/>
  <c r="V90" i="6" s="1"/>
  <c r="AG16" i="6"/>
  <c r="AG63" i="6" s="1"/>
  <c r="AD40" i="6"/>
  <c r="AD87" i="6" s="1"/>
  <c r="AU80" i="6"/>
  <c r="Y17" i="6"/>
  <c r="Y64" i="6" s="1"/>
  <c r="AX58" i="6"/>
  <c r="S29" i="6"/>
  <c r="S76" i="6"/>
  <c r="AM56" i="6"/>
  <c r="AG17" i="6"/>
  <c r="AG64" i="6" s="1"/>
  <c r="AT54" i="6"/>
  <c r="AV72" i="6"/>
  <c r="AZ86" i="6"/>
  <c r="AJ16" i="6"/>
  <c r="AJ63" i="6" s="1"/>
  <c r="AC26" i="6"/>
  <c r="AC73" i="6" s="1"/>
  <c r="Z28" i="6"/>
  <c r="Z75" i="6" s="1"/>
  <c r="AQ83" i="6"/>
  <c r="AL65" i="6"/>
  <c r="AQ86" i="6"/>
  <c r="AW85" i="6"/>
  <c r="AT84" i="6"/>
  <c r="AF32" i="6"/>
  <c r="AF79" i="6" s="1"/>
  <c r="BB83" i="6"/>
  <c r="AU87" i="6"/>
  <c r="AM69" i="6"/>
  <c r="AW81" i="6"/>
  <c r="Z68" i="6"/>
  <c r="Z21" i="6"/>
  <c r="AC19" i="6"/>
  <c r="AC66" i="6" s="1"/>
  <c r="AN80" i="6"/>
  <c r="AX85" i="6"/>
  <c r="AA38" i="6"/>
  <c r="AA85" i="6" s="1"/>
  <c r="S20" i="6"/>
  <c r="S67" i="6" s="1"/>
  <c r="AQ87" i="6"/>
  <c r="W23" i="6"/>
  <c r="W70" i="6" s="1"/>
  <c r="AH38" i="6"/>
  <c r="AH85" i="6" s="1"/>
  <c r="AJ48" i="6"/>
  <c r="AJ95" i="6" s="1"/>
  <c r="AI17" i="6"/>
  <c r="AI64" i="6" s="1"/>
  <c r="AM62" i="6"/>
  <c r="AV86" i="6"/>
  <c r="AS85" i="6"/>
  <c r="AH40" i="6"/>
  <c r="AH87" i="6" s="1"/>
  <c r="AL60" i="6"/>
  <c r="X34" i="6"/>
  <c r="X81" i="6" s="1"/>
  <c r="X33" i="6"/>
  <c r="X80" i="6"/>
  <c r="AC12" i="6"/>
  <c r="AC59" i="6" s="1"/>
  <c r="L32" i="6"/>
  <c r="L79" i="6" s="1"/>
  <c r="AE7" i="6"/>
  <c r="AE54" i="6" s="1"/>
  <c r="AE15" i="6"/>
  <c r="AE62" i="6"/>
  <c r="AZ6" i="6"/>
  <c r="AZ53" i="6" s="1"/>
  <c r="AD13" i="6"/>
  <c r="AD60" i="6" s="1"/>
  <c r="AN59" i="6"/>
  <c r="AM88" i="6"/>
  <c r="R15" i="6"/>
  <c r="R62" i="6"/>
  <c r="AN56" i="6"/>
  <c r="AM75" i="6"/>
  <c r="H16" i="6"/>
  <c r="H63" i="6"/>
  <c r="AO74" i="6"/>
  <c r="AO87" i="6"/>
  <c r="AH31" i="6"/>
  <c r="AH78" i="6" s="1"/>
  <c r="Y48" i="6"/>
  <c r="Y95" i="6" s="1"/>
  <c r="Z7" i="6"/>
  <c r="Z54" i="6" s="1"/>
  <c r="T28" i="6"/>
  <c r="T75" i="6"/>
  <c r="M37" i="6"/>
  <c r="M84" i="6" s="1"/>
  <c r="AE49" i="6"/>
  <c r="AE96" i="6"/>
  <c r="N35" i="6"/>
  <c r="N82" i="6" s="1"/>
  <c r="AE43" i="6"/>
  <c r="AE90" i="6" s="1"/>
  <c r="AD26" i="6"/>
  <c r="AD73" i="6" s="1"/>
  <c r="AG39" i="6"/>
  <c r="AG86" i="6" s="1"/>
  <c r="AO65" i="6"/>
  <c r="S38" i="6"/>
  <c r="S85" i="6" s="1"/>
  <c r="AF13" i="6"/>
  <c r="AF60" i="6" s="1"/>
  <c r="AR82" i="6"/>
  <c r="X18" i="6"/>
  <c r="X65" i="6" s="1"/>
  <c r="AM57" i="6"/>
  <c r="AN89" i="6"/>
  <c r="AD18" i="6"/>
  <c r="AD65" i="6" s="1"/>
  <c r="AH63" i="6"/>
  <c r="AH16" i="6"/>
  <c r="AI22" i="6"/>
  <c r="AI69" i="6" s="1"/>
  <c r="AT78" i="6"/>
  <c r="AM71" i="6"/>
  <c r="AO72" i="6"/>
  <c r="F87" i="6"/>
  <c r="F40" i="6"/>
  <c r="AL78" i="6"/>
  <c r="AC25" i="6"/>
  <c r="AC72" i="6" s="1"/>
  <c r="AI26" i="6"/>
  <c r="AI73" i="6" s="1"/>
  <c r="K95" i="6"/>
  <c r="K48" i="6"/>
  <c r="I40" i="6"/>
  <c r="I87" i="6" s="1"/>
  <c r="AA27" i="6"/>
  <c r="AA74" i="6" s="1"/>
  <c r="AE23" i="6"/>
  <c r="AE70" i="6"/>
  <c r="BR13" i="6"/>
  <c r="BR60" i="6" s="1"/>
  <c r="W16" i="6"/>
  <c r="W63" i="6" s="1"/>
  <c r="AL75" i="6"/>
  <c r="AA33" i="6"/>
  <c r="AA80" i="6"/>
  <c r="AF20" i="6"/>
  <c r="AF67" i="6" s="1"/>
  <c r="Y16" i="6"/>
  <c r="Y63" i="6" s="1"/>
  <c r="Z31" i="6"/>
  <c r="Z78" i="6" s="1"/>
  <c r="AB28" i="6"/>
  <c r="AB75" i="6" s="1"/>
  <c r="V92" i="6"/>
  <c r="V45" i="6"/>
  <c r="I63" i="6"/>
  <c r="I16" i="6"/>
  <c r="AB9" i="6"/>
  <c r="AB56" i="6" s="1"/>
  <c r="Z27" i="6"/>
  <c r="Z74" i="6" s="1"/>
  <c r="Q12" i="6"/>
  <c r="Q59" i="6" s="1"/>
  <c r="BA86" i="6"/>
  <c r="AA30" i="6"/>
  <c r="AA77" i="6" s="1"/>
  <c r="AC40" i="6"/>
  <c r="AC87" i="6"/>
  <c r="V21" i="6"/>
  <c r="V68" i="6" s="1"/>
  <c r="AF24" i="6"/>
  <c r="AF71" i="6" s="1"/>
  <c r="I31" i="6"/>
  <c r="I78" i="6"/>
  <c r="AJ15" i="6"/>
  <c r="AJ62" i="6" s="1"/>
  <c r="O17" i="6"/>
  <c r="O64" i="6"/>
  <c r="P35" i="6"/>
  <c r="P82" i="6" s="1"/>
  <c r="AD30" i="6"/>
  <c r="AD77" i="6" s="1"/>
  <c r="AB21" i="6"/>
  <c r="AB68" i="6"/>
  <c r="AN76" i="6"/>
  <c r="Z77" i="6"/>
  <c r="Z30" i="6"/>
  <c r="BB89" i="6"/>
  <c r="AM59" i="6"/>
  <c r="V40" i="6"/>
  <c r="V87" i="6" s="1"/>
  <c r="F23" i="6"/>
  <c r="F70" i="6" s="1"/>
  <c r="S65" i="6"/>
  <c r="S18" i="6"/>
  <c r="BB80" i="6"/>
  <c r="T78" i="6"/>
  <c r="T31" i="6"/>
  <c r="AO81" i="6"/>
  <c r="Z29" i="6"/>
  <c r="Z76" i="6" s="1"/>
  <c r="AG23" i="6"/>
  <c r="AG70" i="6" s="1"/>
  <c r="AN87" i="6"/>
  <c r="M32" i="6"/>
  <c r="M79" i="6"/>
  <c r="Y29" i="6"/>
  <c r="Y76" i="6" s="1"/>
  <c r="BB86" i="6"/>
  <c r="AS83" i="6"/>
  <c r="AN69" i="6"/>
  <c r="X37" i="6"/>
  <c r="X84" i="6" s="1"/>
  <c r="AC30" i="6"/>
  <c r="AC77" i="6" s="1"/>
  <c r="AY89" i="6"/>
  <c r="V12" i="6"/>
  <c r="V59" i="6" s="1"/>
  <c r="AO59" i="6"/>
  <c r="X28" i="6"/>
  <c r="X75" i="6" s="1"/>
  <c r="AO63" i="6"/>
  <c r="BC83" i="6"/>
  <c r="AA58" i="6"/>
  <c r="AA11" i="6"/>
  <c r="N38" i="6"/>
  <c r="N85" i="6" s="1"/>
  <c r="AN78" i="6"/>
  <c r="AG48" i="6"/>
  <c r="AG95" i="6" s="1"/>
  <c r="AI14" i="6"/>
  <c r="AI61" i="6" s="1"/>
  <c r="Y15" i="6"/>
  <c r="Y62" i="6" s="1"/>
  <c r="AU84" i="6"/>
  <c r="AO69" i="6"/>
  <c r="BA6" i="6"/>
  <c r="BA53" i="6" s="1"/>
  <c r="AF14" i="6"/>
  <c r="AF61" i="6" s="1"/>
  <c r="Z32" i="6"/>
  <c r="Z79" i="6" s="1"/>
  <c r="AA21" i="6"/>
  <c r="AA68" i="6" s="1"/>
  <c r="BS10" i="6"/>
  <c r="BS57" i="6" s="1"/>
  <c r="AJ64" i="6"/>
  <c r="AJ17" i="6"/>
  <c r="H42" i="6"/>
  <c r="H89" i="6" s="1"/>
  <c r="H72" i="6"/>
  <c r="H25" i="6"/>
  <c r="AN55" i="6"/>
  <c r="AH10" i="6"/>
  <c r="AH57" i="6" s="1"/>
  <c r="H10" i="6"/>
  <c r="H57" i="6" s="1"/>
  <c r="O65" i="6"/>
  <c r="O18" i="6"/>
  <c r="F7" i="6"/>
  <c r="F54" i="6" s="1"/>
  <c r="I92" i="6"/>
  <c r="I45" i="6"/>
  <c r="AH11" i="6"/>
  <c r="AH58" i="6" s="1"/>
  <c r="BB70" i="6"/>
  <c r="AL58" i="6"/>
  <c r="AJ71" i="6"/>
  <c r="AJ24" i="6"/>
  <c r="AD33" i="6"/>
  <c r="AD80" i="6"/>
  <c r="BA85" i="6"/>
  <c r="W10" i="6"/>
  <c r="W57" i="6" s="1"/>
  <c r="BC65" i="6"/>
  <c r="AQ61" i="6"/>
  <c r="Y75" i="6"/>
  <c r="Y28" i="6"/>
  <c r="AM73" i="6"/>
  <c r="AN71" i="6"/>
  <c r="AH17" i="6"/>
  <c r="AH64" i="6" s="1"/>
  <c r="AL85" i="6"/>
  <c r="P43" i="6"/>
  <c r="P90" i="6" s="1"/>
  <c r="AI56" i="6"/>
  <c r="AI9" i="6"/>
  <c r="AC15" i="6"/>
  <c r="AC62" i="6" s="1"/>
  <c r="AF84" i="6"/>
  <c r="AF37" i="6"/>
  <c r="AB38" i="6"/>
  <c r="AB85" i="6" s="1"/>
  <c r="BK21" i="6"/>
  <c r="BK68" i="6" s="1"/>
  <c r="AY73" i="6"/>
  <c r="AL89" i="6"/>
  <c r="Q9" i="6"/>
  <c r="Q56" i="6"/>
  <c r="S95" i="6"/>
  <c r="S48" i="6"/>
  <c r="M15" i="6"/>
  <c r="M62" i="6"/>
  <c r="X12" i="6"/>
  <c r="X59" i="6" s="1"/>
  <c r="AD85" i="6"/>
  <c r="AD38" i="6"/>
  <c r="BB88" i="6"/>
  <c r="Y57" i="6"/>
  <c r="Y10" i="6"/>
  <c r="M22" i="6"/>
  <c r="M69" i="6"/>
  <c r="K49" i="6"/>
  <c r="K96" i="6" s="1"/>
  <c r="Y21" i="6"/>
  <c r="Y68" i="6" s="1"/>
  <c r="BB82" i="6"/>
  <c r="BC73" i="6"/>
  <c r="AY90" i="6"/>
  <c r="AO68" i="6"/>
  <c r="AR90" i="6"/>
  <c r="AX82" i="6"/>
  <c r="AS92" i="6"/>
  <c r="AN68" i="6"/>
  <c r="Y35" i="6"/>
  <c r="Y82" i="6" s="1"/>
  <c r="AY87" i="6"/>
  <c r="AZ87" i="6"/>
  <c r="AO66" i="6"/>
  <c r="AB25" i="6"/>
  <c r="AB72" i="6" s="1"/>
  <c r="BA92" i="6"/>
  <c r="BA93" i="6"/>
  <c r="BA94" i="6"/>
  <c r="BA95" i="6"/>
  <c r="AN75" i="6"/>
  <c r="AV68" i="6"/>
  <c r="AE20" i="6"/>
  <c r="AE67" i="6" s="1"/>
  <c r="AF41" i="6"/>
  <c r="AF88" i="6" s="1"/>
  <c r="Z26" i="6"/>
  <c r="Z73" i="6" s="1"/>
  <c r="M29" i="6"/>
  <c r="M76" i="6" s="1"/>
  <c r="AI62" i="6"/>
  <c r="AI15" i="6"/>
  <c r="H19" i="6"/>
  <c r="H66" i="6"/>
  <c r="G18" i="6"/>
  <c r="G65" i="6" s="1"/>
  <c r="AH27" i="6"/>
  <c r="AH74" i="6" s="1"/>
  <c r="AB16" i="6"/>
  <c r="AB63" i="6" s="1"/>
  <c r="AJ49" i="6"/>
  <c r="AJ96" i="6"/>
  <c r="BS16" i="6"/>
  <c r="BS63" i="6" s="1"/>
  <c r="Y32" i="6"/>
  <c r="Y79" i="6"/>
  <c r="AR6" i="6"/>
  <c r="AR53" i="6" s="1"/>
  <c r="AL82" i="6"/>
  <c r="Y8" i="6"/>
  <c r="Y55" i="6" s="1"/>
  <c r="AL74" i="6"/>
  <c r="AN58" i="6"/>
  <c r="AL76" i="6"/>
  <c r="BL18" i="6"/>
  <c r="BL65" i="6" s="1"/>
  <c r="BW39" i="6"/>
  <c r="BW86" i="6" s="1"/>
  <c r="L75" i="6"/>
  <c r="L28" i="6"/>
  <c r="AA41" i="6"/>
  <c r="AA88" i="6" s="1"/>
  <c r="AB71" i="6"/>
  <c r="AB24" i="6"/>
  <c r="X25" i="6"/>
  <c r="X72" i="6"/>
  <c r="BP37" i="6"/>
  <c r="BP84" i="6" s="1"/>
  <c r="AD28" i="6"/>
  <c r="AD75" i="6" s="1"/>
  <c r="W32" i="6"/>
  <c r="W79" i="6" s="1"/>
  <c r="AD35" i="6"/>
  <c r="AD82" i="6" s="1"/>
  <c r="AA43" i="6"/>
  <c r="AA90" i="6" s="1"/>
  <c r="BJ20" i="6"/>
  <c r="BJ67" i="6" s="1"/>
  <c r="T29" i="6"/>
  <c r="T76" i="6" s="1"/>
  <c r="AJ36" i="6"/>
  <c r="AJ83" i="6" s="1"/>
  <c r="Z8" i="6"/>
  <c r="Z55" i="6" s="1"/>
  <c r="X21" i="6"/>
  <c r="X68" i="6" s="1"/>
  <c r="AA76" i="6"/>
  <c r="AA29" i="6"/>
  <c r="Z17" i="6"/>
  <c r="Z64" i="6" s="1"/>
  <c r="BU23" i="6"/>
  <c r="BU70" i="6" s="1"/>
  <c r="AC11" i="6"/>
  <c r="AC58" i="6" s="1"/>
  <c r="AL80" i="6"/>
  <c r="AD11" i="6"/>
  <c r="AD58" i="6"/>
  <c r="R14" i="6"/>
  <c r="R61" i="6" s="1"/>
  <c r="AE34" i="6"/>
  <c r="AE81" i="6" s="1"/>
  <c r="AO62" i="6"/>
  <c r="AM84" i="6"/>
  <c r="M28" i="6"/>
  <c r="M75" i="6" s="1"/>
  <c r="AA7" i="6"/>
  <c r="AA54" i="6" s="1"/>
  <c r="AO86" i="6"/>
  <c r="AA26" i="6"/>
  <c r="AA73" i="6" s="1"/>
  <c r="W15" i="6"/>
  <c r="W62" i="6" s="1"/>
  <c r="AT6" i="6"/>
  <c r="AT53" i="6" s="1"/>
  <c r="X16" i="6"/>
  <c r="X63" i="6" s="1"/>
  <c r="AH37" i="6"/>
  <c r="AH84" i="6" s="1"/>
  <c r="AH35" i="6"/>
  <c r="AH82" i="6" s="1"/>
  <c r="BA90" i="6"/>
  <c r="AD45" i="6"/>
  <c r="AD92" i="6" s="1"/>
  <c r="AE16" i="6"/>
  <c r="AE63" i="6" s="1"/>
  <c r="BA75" i="6"/>
  <c r="AL67" i="6"/>
  <c r="W18" i="6"/>
  <c r="W65" i="6"/>
  <c r="X26" i="6"/>
  <c r="X73" i="6" s="1"/>
  <c r="X30" i="6"/>
  <c r="X77" i="6" s="1"/>
  <c r="M25" i="6"/>
  <c r="M72" i="6"/>
  <c r="AL62" i="6"/>
  <c r="AB17" i="6"/>
  <c r="AB64" i="6" s="1"/>
  <c r="H49" i="6"/>
  <c r="H96" i="6" s="1"/>
  <c r="AC37" i="6"/>
  <c r="AC84" i="6" s="1"/>
  <c r="AM64" i="6"/>
  <c r="AF16" i="6"/>
  <c r="AF63" i="6" s="1"/>
  <c r="W37" i="6"/>
  <c r="W84" i="6" s="1"/>
  <c r="V83" i="6"/>
  <c r="V36" i="6"/>
  <c r="AL86" i="6"/>
  <c r="T22" i="6"/>
  <c r="T69" i="6" s="1"/>
  <c r="Y36" i="6"/>
  <c r="Y83" i="6" s="1"/>
  <c r="X36" i="6"/>
  <c r="X83" i="6" s="1"/>
  <c r="AO84" i="6"/>
  <c r="AA17" i="6"/>
  <c r="AA64" i="6" s="1"/>
  <c r="X14" i="6"/>
  <c r="X61" i="6" s="1"/>
  <c r="AJ28" i="6"/>
  <c r="AJ75" i="6" s="1"/>
  <c r="Z22" i="6"/>
  <c r="Z69" i="6"/>
  <c r="L88" i="6"/>
  <c r="L41" i="6"/>
  <c r="K6" i="6"/>
  <c r="K53" i="6"/>
  <c r="N18" i="6"/>
  <c r="N65" i="6" s="1"/>
  <c r="F22" i="6"/>
  <c r="F69" i="6"/>
  <c r="X86" i="6"/>
  <c r="X39" i="6"/>
  <c r="AE35" i="6"/>
  <c r="AE82" i="6" s="1"/>
  <c r="BJ30" i="6"/>
  <c r="BJ77" i="6" s="1"/>
  <c r="H35" i="6"/>
  <c r="H82" i="6"/>
  <c r="AD29" i="6"/>
  <c r="AD76" i="6" s="1"/>
  <c r="AG30" i="6"/>
  <c r="AG77" i="6" s="1"/>
  <c r="AN90" i="6"/>
  <c r="T11" i="6"/>
  <c r="T58" i="6"/>
  <c r="P26" i="6"/>
  <c r="P73" i="6" s="1"/>
  <c r="AC34" i="6"/>
  <c r="AC81" i="6" s="1"/>
  <c r="Z48" i="6"/>
  <c r="Z95" i="6" s="1"/>
  <c r="Y24" i="6"/>
  <c r="Y71" i="6" s="1"/>
  <c r="AC65" i="6"/>
  <c r="AC18" i="6"/>
  <c r="AC33" i="6"/>
  <c r="AC80" i="6" s="1"/>
  <c r="AF45" i="6"/>
  <c r="AF92" i="6" s="1"/>
  <c r="AF36" i="6"/>
  <c r="AF83" i="6" s="1"/>
  <c r="W82" i="6"/>
  <c r="W35" i="6"/>
  <c r="AA32" i="6"/>
  <c r="AA79" i="6"/>
  <c r="AO88" i="6"/>
  <c r="AW63" i="6"/>
  <c r="AO53" i="6"/>
  <c r="AU88" i="6"/>
  <c r="S75" i="6"/>
  <c r="S28" i="6"/>
  <c r="AC16" i="6"/>
  <c r="AC63" i="6" s="1"/>
  <c r="AC69" i="6"/>
  <c r="AC22" i="6"/>
  <c r="Z45" i="6"/>
  <c r="Z92" i="6" s="1"/>
  <c r="AN82" i="6"/>
  <c r="G41" i="6"/>
  <c r="G88" i="6" s="1"/>
  <c r="AI71" i="6"/>
  <c r="AI24" i="6"/>
  <c r="AF11" i="6"/>
  <c r="AF58" i="6" s="1"/>
  <c r="AG27" i="6"/>
  <c r="AG74" i="6" s="1"/>
  <c r="AT89" i="6"/>
  <c r="AI7" i="6"/>
  <c r="AI54" i="6" s="1"/>
  <c r="AG28" i="6"/>
  <c r="AG75" i="6" s="1"/>
  <c r="H53" i="6"/>
  <c r="H6" i="6"/>
  <c r="X24" i="6"/>
  <c r="X71" i="6" s="1"/>
  <c r="AS82" i="6"/>
  <c r="AS90" i="6"/>
  <c r="AT85" i="6"/>
  <c r="AM58" i="6"/>
  <c r="S9" i="6"/>
  <c r="S56" i="6" s="1"/>
  <c r="AM60" i="6"/>
  <c r="AZ90" i="6"/>
  <c r="AN79" i="6"/>
  <c r="AI46" i="6"/>
  <c r="AI93" i="6" s="1"/>
  <c r="AO82" i="6"/>
  <c r="AN73" i="6"/>
  <c r="AM87" i="6"/>
  <c r="W46" i="6"/>
  <c r="W93" i="6" s="1"/>
  <c r="X46" i="6"/>
  <c r="X93" i="6" s="1"/>
  <c r="AF78" i="6"/>
  <c r="AF31" i="6"/>
  <c r="R55" i="6"/>
  <c r="R8" i="6"/>
  <c r="Q45" i="6"/>
  <c r="Q92" i="6" s="1"/>
  <c r="BW23" i="6"/>
  <c r="BW70" i="6" s="1"/>
  <c r="Y96" i="6"/>
  <c r="Y49" i="6"/>
  <c r="AN67" i="6"/>
  <c r="V78" i="6"/>
  <c r="V31" i="6"/>
  <c r="R73" i="6"/>
  <c r="R26" i="6"/>
  <c r="AJ56" i="6"/>
  <c r="AJ9" i="6"/>
  <c r="L61" i="6"/>
  <c r="L14" i="6"/>
  <c r="BM10" i="6"/>
  <c r="BM57" i="6" s="1"/>
  <c r="X42" i="6"/>
  <c r="X89" i="6" s="1"/>
  <c r="AD71" i="6"/>
  <c r="AD24" i="6"/>
  <c r="AF62" i="6"/>
  <c r="AF15" i="6"/>
  <c r="AA37" i="6"/>
  <c r="AA84" i="6" s="1"/>
  <c r="Y77" i="6"/>
  <c r="Y30" i="6"/>
  <c r="AO76" i="6"/>
  <c r="Q25" i="6"/>
  <c r="Q72" i="6" s="1"/>
  <c r="AL63" i="6"/>
  <c r="AM77" i="6"/>
  <c r="L64" i="6"/>
  <c r="L17" i="6"/>
  <c r="G46" i="6"/>
  <c r="G93" i="6" s="1"/>
  <c r="T93" i="6"/>
  <c r="T46" i="6"/>
  <c r="AN65" i="6"/>
  <c r="L42" i="6"/>
  <c r="L89" i="6" s="1"/>
  <c r="I18" i="6"/>
  <c r="I65" i="6" s="1"/>
  <c r="G85" i="6"/>
  <c r="G38" i="6"/>
  <c r="AG36" i="6"/>
  <c r="AG83" i="6" s="1"/>
  <c r="N87" i="6"/>
  <c r="N40" i="6"/>
  <c r="O22" i="6"/>
  <c r="O69" i="6"/>
  <c r="BE21" i="6"/>
  <c r="BE68" i="6" s="1"/>
  <c r="V42" i="6"/>
  <c r="V89" i="6" s="1"/>
  <c r="L53" i="6"/>
  <c r="L6" i="6"/>
  <c r="Q34" i="6"/>
  <c r="Q81" i="6" s="1"/>
  <c r="T24" i="6"/>
  <c r="T71" i="6" s="1"/>
  <c r="AH25" i="6"/>
  <c r="AH72" i="6" s="1"/>
  <c r="BM37" i="6"/>
  <c r="BM84" i="6" s="1"/>
  <c r="W11" i="6"/>
  <c r="W58" i="6" s="1"/>
  <c r="BQ32" i="6"/>
  <c r="BQ79" i="6" s="1"/>
  <c r="R30" i="6"/>
  <c r="R77" i="6" s="1"/>
  <c r="AJ87" i="6"/>
  <c r="AJ40" i="6"/>
  <c r="AE32" i="6"/>
  <c r="AE79" i="6" s="1"/>
  <c r="AJ22" i="6"/>
  <c r="AJ69" i="6" s="1"/>
  <c r="BW9" i="6"/>
  <c r="BW56" i="6" s="1"/>
  <c r="AB29" i="6"/>
  <c r="AB76" i="6"/>
  <c r="J37" i="6"/>
  <c r="J84" i="6" s="1"/>
  <c r="AL66" i="6"/>
  <c r="AO70" i="6"/>
  <c r="AI28" i="6"/>
  <c r="AI75" i="6" s="1"/>
  <c r="AH47" i="6"/>
  <c r="AH94" i="6" s="1"/>
  <c r="N26" i="6"/>
  <c r="N73" i="6" s="1"/>
  <c r="BJ34" i="6"/>
  <c r="BJ81" i="6" s="1"/>
  <c r="AC56" i="6"/>
  <c r="AC9" i="6"/>
  <c r="K13" i="6"/>
  <c r="K60" i="6" s="1"/>
  <c r="AM86" i="6"/>
  <c r="O35" i="6"/>
  <c r="O82" i="6" s="1"/>
  <c r="AA20" i="6"/>
  <c r="AA67" i="6" s="1"/>
  <c r="BP17" i="6"/>
  <c r="BP64" i="6" s="1"/>
  <c r="W7" i="6"/>
  <c r="W54" i="6" s="1"/>
  <c r="H39" i="6"/>
  <c r="H86" i="6" s="1"/>
  <c r="J31" i="6"/>
  <c r="J78" i="6" s="1"/>
  <c r="AG8" i="6"/>
  <c r="AG55" i="6" s="1"/>
  <c r="BN21" i="6"/>
  <c r="BN68" i="6" s="1"/>
  <c r="AD46" i="6"/>
  <c r="AD93" i="6" s="1"/>
  <c r="AM85" i="6"/>
  <c r="N31" i="6"/>
  <c r="N78" i="6" s="1"/>
  <c r="P12" i="6"/>
  <c r="P59" i="6"/>
  <c r="BP40" i="6"/>
  <c r="BP87" i="6" s="1"/>
  <c r="AF23" i="6"/>
  <c r="AF70" i="6" s="1"/>
  <c r="BG40" i="6"/>
  <c r="BG87" i="6" s="1"/>
  <c r="H41" i="6"/>
  <c r="H88" i="6" s="1"/>
  <c r="AH43" i="6"/>
  <c r="AH90" i="6" s="1"/>
  <c r="W33" i="6"/>
  <c r="W80" i="6" s="1"/>
  <c r="BP38" i="6"/>
  <c r="BP85" i="6" s="1"/>
  <c r="S23" i="6"/>
  <c r="S70" i="6" s="1"/>
  <c r="BP14" i="6"/>
  <c r="BP61" i="6" s="1"/>
  <c r="BG18" i="6"/>
  <c r="BG65" i="6" s="1"/>
  <c r="BS24" i="6"/>
  <c r="BS71" i="6" s="1"/>
  <c r="AH39" i="6"/>
  <c r="AH86" i="6" s="1"/>
  <c r="AM68" i="6"/>
  <c r="T37" i="6"/>
  <c r="T84" i="6" s="1"/>
  <c r="AA39" i="6"/>
  <c r="AA86" i="6" s="1"/>
  <c r="BM39" i="6"/>
  <c r="BM86" i="6" s="1"/>
  <c r="AD9" i="6"/>
  <c r="AD56" i="6" s="1"/>
  <c r="AL73" i="6"/>
  <c r="H24" i="6"/>
  <c r="H71" i="6" s="1"/>
  <c r="Y39" i="6"/>
  <c r="Y86" i="6" s="1"/>
  <c r="AO71" i="6"/>
  <c r="Q41" i="6"/>
  <c r="Q88" i="6"/>
  <c r="O31" i="6"/>
  <c r="O78" i="6"/>
  <c r="BV28" i="6"/>
  <c r="BV75" i="6" s="1"/>
  <c r="AM65" i="6"/>
  <c r="I38" i="6"/>
  <c r="I85" i="6" s="1"/>
  <c r="AA14" i="6"/>
  <c r="AA61" i="6" s="1"/>
  <c r="AJ34" i="6"/>
  <c r="AJ81" i="6" s="1"/>
  <c r="AJ45" i="6"/>
  <c r="AJ92" i="6" s="1"/>
  <c r="BM26" i="6"/>
  <c r="BM73" i="6" s="1"/>
  <c r="BL38" i="6"/>
  <c r="BL85" i="6" s="1"/>
  <c r="AE31" i="6"/>
  <c r="AE78" i="6" s="1"/>
  <c r="AC92" i="6"/>
  <c r="AC45" i="6"/>
  <c r="AE13" i="6"/>
  <c r="AE60" i="6" s="1"/>
  <c r="AM82" i="6"/>
  <c r="Z18" i="6"/>
  <c r="Z65" i="6" s="1"/>
  <c r="F13" i="6"/>
  <c r="F60" i="6" s="1"/>
  <c r="AL57" i="6"/>
  <c r="N23" i="6"/>
  <c r="N70" i="6" s="1"/>
  <c r="W78" i="6"/>
  <c r="W31" i="6"/>
  <c r="AI20" i="6"/>
  <c r="AI67" i="6" s="1"/>
  <c r="AO61" i="6"/>
  <c r="AE33" i="6"/>
  <c r="AE80" i="6" s="1"/>
  <c r="AC8" i="6"/>
  <c r="AC55" i="6" s="1"/>
  <c r="AC27" i="6"/>
  <c r="AC74" i="6" s="1"/>
  <c r="AB37" i="6"/>
  <c r="AB84" i="6" s="1"/>
  <c r="BF31" i="6"/>
  <c r="BF78" i="6" s="1"/>
  <c r="J19" i="6"/>
  <c r="J66" i="6" s="1"/>
  <c r="S46" i="6"/>
  <c r="S93" i="6"/>
  <c r="F8" i="6"/>
  <c r="F55" i="6"/>
  <c r="Z19" i="6"/>
  <c r="Z66" i="6" s="1"/>
  <c r="Q26" i="6"/>
  <c r="Q73" i="6" s="1"/>
  <c r="AN83" i="6"/>
  <c r="H37" i="6"/>
  <c r="H84" i="6"/>
  <c r="I29" i="6"/>
  <c r="I76" i="6" s="1"/>
  <c r="S19" i="6"/>
  <c r="S66" i="6" s="1"/>
  <c r="R16" i="6"/>
  <c r="R63" i="6" s="1"/>
  <c r="AD23" i="6"/>
  <c r="AD70" i="6" s="1"/>
  <c r="AC29" i="6"/>
  <c r="AC76" i="6"/>
  <c r="AL77" i="6"/>
  <c r="X29" i="6"/>
  <c r="X76" i="6" s="1"/>
  <c r="AB26" i="6"/>
  <c r="AB73" i="6" s="1"/>
  <c r="AA12" i="6"/>
  <c r="AA59" i="6" s="1"/>
  <c r="BP25" i="6"/>
  <c r="BP72" i="6" s="1"/>
  <c r="BU20" i="6"/>
  <c r="BU67" i="6" s="1"/>
  <c r="F28" i="6"/>
  <c r="F75" i="6" s="1"/>
  <c r="BQ11" i="6"/>
  <c r="BQ58" i="6" s="1"/>
  <c r="AE25" i="6"/>
  <c r="AE72" i="6" s="1"/>
  <c r="Z15" i="6"/>
  <c r="Z62" i="6"/>
  <c r="N62" i="6"/>
  <c r="N15" i="6"/>
  <c r="AA22" i="6"/>
  <c r="AA69" i="6" s="1"/>
  <c r="Z42" i="6"/>
  <c r="Z89" i="6" s="1"/>
  <c r="M9" i="6"/>
  <c r="M56" i="6" s="1"/>
  <c r="AB34" i="6"/>
  <c r="AB81" i="6" s="1"/>
  <c r="AE10" i="6"/>
  <c r="AE57" i="6" s="1"/>
  <c r="O47" i="6"/>
  <c r="O94" i="6" s="1"/>
  <c r="AB8" i="6"/>
  <c r="AB55" i="6" s="1"/>
  <c r="BQ9" i="6"/>
  <c r="BQ56" i="6" s="1"/>
  <c r="L31" i="6"/>
  <c r="L78" i="6" s="1"/>
  <c r="BT13" i="6"/>
  <c r="BT60" i="6" s="1"/>
  <c r="AE21" i="6"/>
  <c r="AE68" i="6" s="1"/>
  <c r="BF25" i="6"/>
  <c r="BF72" i="6" s="1"/>
  <c r="BN18" i="6"/>
  <c r="BN65" i="6" s="1"/>
  <c r="M85" i="6"/>
  <c r="M38" i="6"/>
  <c r="K32" i="6"/>
  <c r="K79" i="6" s="1"/>
  <c r="R64" i="6"/>
  <c r="R17" i="6"/>
  <c r="P79" i="6"/>
  <c r="P32" i="6"/>
  <c r="AB40" i="6"/>
  <c r="AB87" i="6" s="1"/>
  <c r="AG40" i="6"/>
  <c r="AG87" i="6" s="1"/>
  <c r="O58" i="6"/>
  <c r="O11" i="6"/>
  <c r="AH23" i="6"/>
  <c r="AH70" i="6" s="1"/>
  <c r="AD20" i="6"/>
  <c r="AD67" i="6" s="1"/>
  <c r="AB93" i="6"/>
  <c r="AB46" i="6"/>
  <c r="AA65" i="6"/>
  <c r="AA18" i="6"/>
  <c r="AB49" i="6"/>
  <c r="AB96" i="6" s="1"/>
  <c r="AE47" i="6"/>
  <c r="AE94" i="6" s="1"/>
  <c r="P49" i="6"/>
  <c r="P96" i="6" s="1"/>
  <c r="AM70" i="6"/>
  <c r="AY92" i="6"/>
  <c r="AY93" i="6"/>
  <c r="AY94" i="6"/>
  <c r="AY95" i="6"/>
  <c r="AY96" i="6"/>
  <c r="AI18" i="6"/>
  <c r="AI65" i="6" s="1"/>
  <c r="AI25" i="6"/>
  <c r="AI72" i="6"/>
  <c r="BS14" i="6"/>
  <c r="BS61" i="6" s="1"/>
  <c r="BM18" i="6"/>
  <c r="BM65" i="6" s="1"/>
  <c r="Q35" i="6"/>
  <c r="Q82" i="6"/>
  <c r="AI19" i="6"/>
  <c r="AI66" i="6"/>
  <c r="AM78" i="6"/>
  <c r="AF25" i="6"/>
  <c r="AF72" i="6" s="1"/>
  <c r="AB23" i="6"/>
  <c r="AB70" i="6" s="1"/>
  <c r="BN6" i="6"/>
  <c r="BN53" i="6" s="1"/>
  <c r="BV11" i="6"/>
  <c r="BV58" i="6" s="1"/>
  <c r="K25" i="6"/>
  <c r="K72" i="6" s="1"/>
  <c r="T8" i="6"/>
  <c r="T55" i="6" s="1"/>
  <c r="AC35" i="6"/>
  <c r="AC82" i="6" s="1"/>
  <c r="L29" i="6"/>
  <c r="L76" i="6" s="1"/>
  <c r="M48" i="6"/>
  <c r="M95" i="6"/>
  <c r="AH95" i="6"/>
  <c r="AH48" i="6"/>
  <c r="V48" i="6"/>
  <c r="V95" i="6" s="1"/>
  <c r="V57" i="6"/>
  <c r="V10" i="6"/>
  <c r="AB31" i="6"/>
  <c r="AB78" i="6" s="1"/>
  <c r="AA42" i="6"/>
  <c r="AA89" i="6" s="1"/>
  <c r="Y27" i="6"/>
  <c r="Y74" i="6" s="1"/>
  <c r="BP33" i="6"/>
  <c r="BP80" i="6" s="1"/>
  <c r="AD36" i="6"/>
  <c r="AD83" i="6"/>
  <c r="BK40" i="6"/>
  <c r="BK87" i="6" s="1"/>
  <c r="AB12" i="6"/>
  <c r="AB59" i="6" s="1"/>
  <c r="W48" i="6"/>
  <c r="W95" i="6" s="1"/>
  <c r="J46" i="6"/>
  <c r="J93" i="6"/>
  <c r="Y34" i="6"/>
  <c r="Y81" i="6" s="1"/>
  <c r="R13" i="6"/>
  <c r="R60" i="6" s="1"/>
  <c r="BL17" i="6"/>
  <c r="BL64" i="6" s="1"/>
  <c r="AN74" i="6"/>
  <c r="AG43" i="6"/>
  <c r="AG90" i="6" s="1"/>
  <c r="M12" i="6"/>
  <c r="M59" i="6"/>
  <c r="K9" i="6"/>
  <c r="K56" i="6"/>
  <c r="R12" i="6"/>
  <c r="R59" i="6"/>
  <c r="BN33" i="6"/>
  <c r="BN80" i="6" s="1"/>
  <c r="I11" i="6"/>
  <c r="I58" i="6" s="1"/>
  <c r="AE19" i="6"/>
  <c r="AE66" i="6" s="1"/>
  <c r="X40" i="6"/>
  <c r="X87" i="6" s="1"/>
  <c r="BW41" i="6"/>
  <c r="BW88" i="6" s="1"/>
  <c r="BW21" i="6"/>
  <c r="BW68" i="6" s="1"/>
  <c r="W26" i="6"/>
  <c r="W73" i="6" s="1"/>
  <c r="K47" i="6"/>
  <c r="K94" i="6" s="1"/>
  <c r="AF27" i="6"/>
  <c r="AF74" i="6" s="1"/>
  <c r="X43" i="6"/>
  <c r="X90" i="6" s="1"/>
  <c r="AH9" i="6"/>
  <c r="AH56" i="6" s="1"/>
  <c r="X45" i="6"/>
  <c r="X92" i="6" s="1"/>
  <c r="P11" i="6"/>
  <c r="P58" i="6"/>
  <c r="AG15" i="6"/>
  <c r="AG62" i="6" s="1"/>
  <c r="P45" i="6"/>
  <c r="P92" i="6" s="1"/>
  <c r="BR14" i="6"/>
  <c r="BR61" i="6" s="1"/>
  <c r="F11" i="6"/>
  <c r="F58" i="6" s="1"/>
  <c r="W38" i="6"/>
  <c r="W85" i="6"/>
  <c r="J92" i="6"/>
  <c r="J45" i="6"/>
  <c r="V26" i="6"/>
  <c r="V73" i="6" s="1"/>
  <c r="BG8" i="6"/>
  <c r="BG55" i="6" s="1"/>
  <c r="BL37" i="6"/>
  <c r="BL84" i="6" s="1"/>
  <c r="J48" i="6"/>
  <c r="J95" i="6" s="1"/>
  <c r="V38" i="6"/>
  <c r="V85" i="6" s="1"/>
  <c r="Q48" i="6"/>
  <c r="Q95" i="6" s="1"/>
  <c r="AD16" i="6"/>
  <c r="AD63" i="6" s="1"/>
  <c r="AO77" i="6"/>
  <c r="X10" i="6"/>
  <c r="X57" i="6"/>
  <c r="BJ33" i="6"/>
  <c r="BJ80" i="6" s="1"/>
  <c r="T19" i="6"/>
  <c r="T66" i="6"/>
  <c r="AE39" i="6"/>
  <c r="AE86" i="6" s="1"/>
  <c r="R39" i="6"/>
  <c r="R86" i="6"/>
  <c r="AB13" i="6"/>
  <c r="AB60" i="6" s="1"/>
  <c r="AG34" i="6"/>
  <c r="AG81" i="6"/>
  <c r="AE28" i="6"/>
  <c r="AE75" i="6" s="1"/>
  <c r="BK18" i="6"/>
  <c r="BK65" i="6" s="1"/>
  <c r="AO58" i="6"/>
  <c r="AI30" i="6"/>
  <c r="AI77" i="6" s="1"/>
  <c r="Y46" i="6"/>
  <c r="Y93" i="6" s="1"/>
  <c r="AE17" i="6"/>
  <c r="AE64" i="6" s="1"/>
  <c r="BL42" i="6"/>
  <c r="BL89" i="6" s="1"/>
  <c r="AF8" i="6"/>
  <c r="AF55" i="6" s="1"/>
  <c r="BM24" i="6"/>
  <c r="BM71" i="6" s="1"/>
  <c r="F30" i="6"/>
  <c r="F77" i="6"/>
  <c r="AC7" i="6"/>
  <c r="AC54" i="6" s="1"/>
  <c r="AI40" i="6"/>
  <c r="AI87" i="6"/>
  <c r="AJ10" i="6"/>
  <c r="AJ57" i="6" s="1"/>
  <c r="AL61" i="6"/>
  <c r="AJ77" i="6"/>
  <c r="AJ30" i="6"/>
  <c r="AC14" i="6"/>
  <c r="AC61" i="6" s="1"/>
  <c r="AO67" i="6"/>
  <c r="AN81" i="6"/>
  <c r="V9" i="6"/>
  <c r="V56" i="6" s="1"/>
  <c r="Z40" i="6"/>
  <c r="Z87" i="6" s="1"/>
  <c r="AD12" i="6"/>
  <c r="AD59" i="6" s="1"/>
  <c r="M24" i="6"/>
  <c r="M71" i="6" s="1"/>
  <c r="BK30" i="6"/>
  <c r="BK77" i="6" s="1"/>
  <c r="G22" i="6"/>
  <c r="G69" i="6"/>
  <c r="BH11" i="6"/>
  <c r="BH58" i="6" s="1"/>
  <c r="Y18" i="6"/>
  <c r="Y65" i="6" s="1"/>
  <c r="P81" i="6"/>
  <c r="P34" i="6"/>
  <c r="AC17" i="6"/>
  <c r="AC64" i="6" s="1"/>
  <c r="AH30" i="6"/>
  <c r="AH77" i="6" s="1"/>
  <c r="Z23" i="6"/>
  <c r="Z70" i="6" s="1"/>
  <c r="X38" i="6"/>
  <c r="X85" i="6" s="1"/>
  <c r="V18" i="6"/>
  <c r="V65" i="6" s="1"/>
  <c r="AG42" i="6"/>
  <c r="AG89" i="6" s="1"/>
  <c r="O34" i="6"/>
  <c r="O81" i="6"/>
  <c r="BV38" i="6"/>
  <c r="BV85" i="6" s="1"/>
  <c r="Y9" i="6"/>
  <c r="Y56" i="6" s="1"/>
  <c r="AH34" i="6"/>
  <c r="AH81" i="6" s="1"/>
  <c r="AA8" i="6"/>
  <c r="AA55" i="6"/>
  <c r="L82" i="6"/>
  <c r="L35" i="6"/>
  <c r="Z10" i="6"/>
  <c r="Z57" i="6" s="1"/>
  <c r="X23" i="6"/>
  <c r="X70" i="6" s="1"/>
  <c r="BG41" i="6"/>
  <c r="BG88" i="6" s="1"/>
  <c r="H11" i="6"/>
  <c r="H58" i="6" s="1"/>
  <c r="BJ13" i="6"/>
  <c r="BJ60" i="6" s="1"/>
  <c r="N24" i="6"/>
  <c r="N71" i="6" s="1"/>
  <c r="AJ27" i="6"/>
  <c r="AJ74" i="6" s="1"/>
  <c r="BW38" i="6"/>
  <c r="BW85" i="6" s="1"/>
  <c r="BK35" i="6"/>
  <c r="BK82" i="6" s="1"/>
  <c r="H76" i="6"/>
  <c r="H29" i="6"/>
  <c r="H15" i="6"/>
  <c r="H62" i="6" s="1"/>
  <c r="X7" i="6"/>
  <c r="X54" i="6" s="1"/>
  <c r="AE38" i="6"/>
  <c r="AE85" i="6" s="1"/>
  <c r="BJ16" i="6"/>
  <c r="BJ63" i="6" s="1"/>
  <c r="AD15" i="6"/>
  <c r="AD62" i="6" s="1"/>
  <c r="R33" i="6"/>
  <c r="R80" i="6"/>
  <c r="BG6" i="6"/>
  <c r="BG53" i="6" s="1"/>
  <c r="AB11" i="6"/>
  <c r="AB58" i="6" s="1"/>
  <c r="X35" i="6"/>
  <c r="X82" i="6"/>
  <c r="J36" i="6"/>
  <c r="J83" i="6"/>
  <c r="BL40" i="6"/>
  <c r="BL87" i="6" s="1"/>
  <c r="S25" i="6"/>
  <c r="S72" i="6" s="1"/>
  <c r="AG7" i="6"/>
  <c r="AG54" i="6" s="1"/>
  <c r="AA24" i="6"/>
  <c r="AA71" i="6" s="1"/>
  <c r="F39" i="6"/>
  <c r="F86" i="6"/>
  <c r="BG24" i="6"/>
  <c r="BG71" i="6" s="1"/>
  <c r="G39" i="6"/>
  <c r="G86" i="6" s="1"/>
  <c r="BW33" i="6"/>
  <c r="BW80" i="6" s="1"/>
  <c r="G33" i="6"/>
  <c r="G80" i="6" s="1"/>
  <c r="F6" i="6"/>
  <c r="F53" i="6" s="1"/>
  <c r="AI32" i="6"/>
  <c r="AI79" i="6" s="1"/>
  <c r="J32" i="6"/>
  <c r="J79" i="6" s="1"/>
  <c r="O14" i="6"/>
  <c r="O61" i="6" s="1"/>
  <c r="Q49" i="6"/>
  <c r="Q96" i="6"/>
  <c r="AA28" i="6"/>
  <c r="AA75" i="6" s="1"/>
  <c r="AB20" i="6"/>
  <c r="AB67" i="6" s="1"/>
  <c r="AE11" i="6"/>
  <c r="AE58" i="6" s="1"/>
  <c r="AH46" i="6"/>
  <c r="AH93" i="6" s="1"/>
  <c r="BL22" i="6"/>
  <c r="BL69" i="6" s="1"/>
  <c r="BS20" i="6"/>
  <c r="BS67" i="6" s="1"/>
  <c r="BG27" i="6"/>
  <c r="BG74" i="6" s="1"/>
  <c r="K37" i="6"/>
  <c r="K84" i="6" s="1"/>
  <c r="AF12" i="6"/>
  <c r="AF59" i="6" s="1"/>
  <c r="K20" i="6"/>
  <c r="K67" i="6" s="1"/>
  <c r="BW11" i="6"/>
  <c r="BW58" i="6" s="1"/>
  <c r="V7" i="6"/>
  <c r="V54" i="6"/>
  <c r="J22" i="6"/>
  <c r="J69" i="6" s="1"/>
  <c r="O37" i="6"/>
  <c r="O84" i="6" s="1"/>
  <c r="Y45" i="6"/>
  <c r="Y92" i="6" s="1"/>
  <c r="Q16" i="6"/>
  <c r="Q63" i="6" s="1"/>
  <c r="P29" i="6"/>
  <c r="P76" i="6" s="1"/>
  <c r="R49" i="6"/>
  <c r="R96" i="6" s="1"/>
  <c r="J42" i="6"/>
  <c r="J89" i="6"/>
  <c r="K38" i="6"/>
  <c r="K85" i="6"/>
  <c r="P8" i="6"/>
  <c r="P55" i="6" s="1"/>
  <c r="O27" i="6"/>
  <c r="O74" i="6" s="1"/>
  <c r="F48" i="6"/>
  <c r="F95" i="6" s="1"/>
  <c r="BR35" i="6"/>
  <c r="BR82" i="6" s="1"/>
  <c r="L36" i="6"/>
  <c r="L83" i="6"/>
  <c r="AC47" i="6"/>
  <c r="AC94" i="6" s="1"/>
  <c r="F37" i="6"/>
  <c r="F84" i="6" s="1"/>
  <c r="BT9" i="6"/>
  <c r="BT56" i="6" s="1"/>
  <c r="L20" i="6"/>
  <c r="L67" i="6"/>
  <c r="BO42" i="6"/>
  <c r="BO89" i="6" s="1"/>
  <c r="BG21" i="6"/>
  <c r="BG68" i="6" s="1"/>
  <c r="L27" i="6"/>
  <c r="L74" i="6" s="1"/>
  <c r="F41" i="6"/>
  <c r="F88" i="6" s="1"/>
  <c r="AG25" i="6"/>
  <c r="AG72" i="6" s="1"/>
  <c r="Y38" i="6"/>
  <c r="Y85" i="6" s="1"/>
  <c r="AE18" i="6"/>
  <c r="AE65" i="6" s="1"/>
  <c r="AH22" i="6"/>
  <c r="AH69" i="6" s="1"/>
  <c r="BU10" i="6"/>
  <c r="BU57" i="6" s="1"/>
  <c r="G55" i="6"/>
  <c r="G8" i="6"/>
  <c r="AI31" i="6"/>
  <c r="AI78" i="6" s="1"/>
  <c r="I73" i="6"/>
  <c r="I26" i="6"/>
  <c r="BO43" i="6"/>
  <c r="BO90" i="6" s="1"/>
  <c r="AB45" i="6"/>
  <c r="AB92" i="6" s="1"/>
  <c r="AE9" i="6"/>
  <c r="AE56" i="6" s="1"/>
  <c r="AG20" i="6"/>
  <c r="AG67" i="6" s="1"/>
  <c r="F10" i="6"/>
  <c r="F57" i="6" s="1"/>
  <c r="BW28" i="6"/>
  <c r="BW75" i="6" s="1"/>
  <c r="M20" i="6"/>
  <c r="M67" i="6" s="1"/>
  <c r="BG37" i="6"/>
  <c r="BG84" i="6" s="1"/>
  <c r="J13" i="6"/>
  <c r="J60" i="6" s="1"/>
  <c r="AJ13" i="6"/>
  <c r="AJ60" i="6" s="1"/>
  <c r="BR20" i="6"/>
  <c r="BR67" i="6" s="1"/>
  <c r="G47" i="6"/>
  <c r="G94" i="6" s="1"/>
  <c r="BL23" i="6"/>
  <c r="BL70" i="6" s="1"/>
  <c r="P9" i="6"/>
  <c r="P56" i="6" s="1"/>
  <c r="H26" i="6"/>
  <c r="H73" i="6" s="1"/>
  <c r="G13" i="6"/>
  <c r="G60" i="6"/>
  <c r="BJ39" i="6"/>
  <c r="BJ86" i="6" s="1"/>
  <c r="BF24" i="6"/>
  <c r="BF71" i="6" s="1"/>
  <c r="W40" i="6"/>
  <c r="W87" i="6" s="1"/>
  <c r="BT42" i="6"/>
  <c r="BT89" i="6" s="1"/>
  <c r="AI12" i="6"/>
  <c r="AI59" i="6" s="1"/>
  <c r="G29" i="6"/>
  <c r="G76" i="6"/>
  <c r="BR17" i="6"/>
  <c r="BR64" i="6" s="1"/>
  <c r="P36" i="6"/>
  <c r="P83" i="6"/>
  <c r="H18" i="6"/>
  <c r="H65" i="6"/>
  <c r="T30" i="6"/>
  <c r="T77" i="6" s="1"/>
  <c r="H28" i="6"/>
  <c r="H75" i="6" s="1"/>
  <c r="Z33" i="6"/>
  <c r="Z80" i="6" s="1"/>
  <c r="BK32" i="6"/>
  <c r="BK79" i="6" s="1"/>
  <c r="AO78" i="6"/>
  <c r="Z39" i="6"/>
  <c r="Z86" i="6" s="1"/>
  <c r="BH8" i="6"/>
  <c r="BH55" i="6" s="1"/>
  <c r="M18" i="6"/>
  <c r="M65" i="6" s="1"/>
  <c r="BH18" i="6"/>
  <c r="BH65" i="6" s="1"/>
  <c r="AA35" i="6"/>
  <c r="AA82" i="6" s="1"/>
  <c r="BS8" i="6"/>
  <c r="BS55" i="6" s="1"/>
  <c r="AH13" i="6"/>
  <c r="AH60" i="6"/>
  <c r="BW18" i="6"/>
  <c r="BW65" i="6" s="1"/>
  <c r="M43" i="6"/>
  <c r="M90" i="6"/>
  <c r="BM27" i="6"/>
  <c r="BM74" i="6" s="1"/>
  <c r="BU16" i="6"/>
  <c r="BU63" i="6" s="1"/>
  <c r="S15" i="6"/>
  <c r="S62" i="6" s="1"/>
  <c r="BP28" i="6"/>
  <c r="BP75" i="6" s="1"/>
  <c r="V8" i="6"/>
  <c r="V55" i="6"/>
  <c r="BO18" i="6"/>
  <c r="BO65" i="6" s="1"/>
  <c r="Q19" i="6"/>
  <c r="Q66" i="6"/>
  <c r="L84" i="6"/>
  <c r="L37" i="6"/>
  <c r="I7" i="6"/>
  <c r="I54" i="6" s="1"/>
  <c r="O21" i="6"/>
  <c r="O68" i="6" s="1"/>
  <c r="I82" i="6"/>
  <c r="I35" i="6"/>
  <c r="W49" i="6"/>
  <c r="W96" i="6" s="1"/>
  <c r="AF82" i="6"/>
  <c r="AF35" i="6"/>
  <c r="AJ68" i="6"/>
  <c r="AJ21" i="6"/>
  <c r="F18" i="6"/>
  <c r="F65" i="6" s="1"/>
  <c r="AG71" i="6"/>
  <c r="AG24" i="6"/>
  <c r="Q18" i="6"/>
  <c r="Q65" i="6" s="1"/>
  <c r="O48" i="6"/>
  <c r="O95" i="6" s="1"/>
  <c r="BN32" i="6"/>
  <c r="BN79" i="6" s="1"/>
  <c r="AO85" i="6"/>
  <c r="N21" i="6"/>
  <c r="N68" i="6" s="1"/>
  <c r="Z83" i="6"/>
  <c r="Z36" i="6"/>
  <c r="S78" i="6"/>
  <c r="S31" i="6"/>
  <c r="V15" i="6"/>
  <c r="V62" i="6" s="1"/>
  <c r="BT14" i="6"/>
  <c r="BT61" i="6" s="1"/>
  <c r="W81" i="6"/>
  <c r="W34" i="6"/>
  <c r="AA62" i="6"/>
  <c r="AA15" i="6"/>
  <c r="BT37" i="6"/>
  <c r="BT84" i="6" s="1"/>
  <c r="M39" i="6"/>
  <c r="M86" i="6" s="1"/>
  <c r="AD21" i="6"/>
  <c r="AD68" i="6" s="1"/>
  <c r="AI63" i="6"/>
  <c r="AI16" i="6"/>
  <c r="BS36" i="6"/>
  <c r="BS83" i="6" s="1"/>
  <c r="AN62" i="6"/>
  <c r="AD47" i="6"/>
  <c r="AD94" i="6" s="1"/>
  <c r="BJ29" i="6"/>
  <c r="BJ76" i="6" s="1"/>
  <c r="G6" i="6"/>
  <c r="G53" i="6" s="1"/>
  <c r="BP39" i="6"/>
  <c r="BP86" i="6" s="1"/>
  <c r="BT10" i="6"/>
  <c r="BT57" i="6" s="1"/>
  <c r="AJ18" i="6"/>
  <c r="AJ65" i="6" s="1"/>
  <c r="W17" i="6"/>
  <c r="W64" i="6" s="1"/>
  <c r="M33" i="6"/>
  <c r="M80" i="6" s="1"/>
  <c r="N57" i="6"/>
  <c r="N10" i="6"/>
  <c r="AF40" i="6"/>
  <c r="AF87" i="6" s="1"/>
  <c r="BW42" i="6"/>
  <c r="BW89" i="6" s="1"/>
  <c r="BL39" i="6"/>
  <c r="BL86" i="6" s="1"/>
  <c r="S13" i="6"/>
  <c r="S60" i="6" s="1"/>
  <c r="AE24" i="6"/>
  <c r="AE71" i="6" s="1"/>
  <c r="AI27" i="6"/>
  <c r="AI74" i="6" s="1"/>
  <c r="O30" i="6"/>
  <c r="O77" i="6" s="1"/>
  <c r="BL12" i="6"/>
  <c r="BL59" i="6" s="1"/>
  <c r="O43" i="6"/>
  <c r="O90" i="6" s="1"/>
  <c r="V24" i="6"/>
  <c r="V71" i="6" s="1"/>
  <c r="Z20" i="6"/>
  <c r="Z67" i="6"/>
  <c r="BO14" i="6"/>
  <c r="BO61" i="6" s="1"/>
  <c r="BU9" i="6"/>
  <c r="BU56" i="6" s="1"/>
  <c r="BQ30" i="6"/>
  <c r="BQ77" i="6" s="1"/>
  <c r="AN72" i="6"/>
  <c r="BW40" i="6"/>
  <c r="BW87" i="6" s="1"/>
  <c r="P47" i="6"/>
  <c r="P94" i="6" s="1"/>
  <c r="R90" i="6"/>
  <c r="R43" i="6"/>
  <c r="BT17" i="6"/>
  <c r="BT64" i="6" s="1"/>
  <c r="R68" i="6"/>
  <c r="R21" i="6"/>
  <c r="S42" i="6"/>
  <c r="S89" i="6"/>
  <c r="AH33" i="6"/>
  <c r="AH80" i="6" s="1"/>
  <c r="M40" i="6"/>
  <c r="M87" i="6" s="1"/>
  <c r="V76" i="6"/>
  <c r="V29" i="6"/>
  <c r="AH29" i="6"/>
  <c r="AH76" i="6" s="1"/>
  <c r="P33" i="6"/>
  <c r="P80" i="6" s="1"/>
  <c r="AJ25" i="6"/>
  <c r="AJ72" i="6" s="1"/>
  <c r="BK38" i="6"/>
  <c r="BK85" i="6" s="1"/>
  <c r="R42" i="6"/>
  <c r="R89" i="6" s="1"/>
  <c r="BT8" i="6"/>
  <c r="BT55" i="6" s="1"/>
  <c r="K34" i="6"/>
  <c r="K81" i="6" s="1"/>
  <c r="AB33" i="6"/>
  <c r="AB80" i="6" s="1"/>
  <c r="BT21" i="6"/>
  <c r="BT68" i="6" s="1"/>
  <c r="K12" i="6"/>
  <c r="K59" i="6" s="1"/>
  <c r="BT16" i="6"/>
  <c r="BT63" i="6" s="1"/>
  <c r="AN60" i="6"/>
  <c r="P27" i="6"/>
  <c r="P74" i="6"/>
  <c r="AE45" i="6"/>
  <c r="AE92" i="6" s="1"/>
  <c r="BK22" i="6"/>
  <c r="BK69" i="6" s="1"/>
  <c r="W21" i="6"/>
  <c r="W68" i="6" s="1"/>
  <c r="X27" i="6"/>
  <c r="X74" i="6" s="1"/>
  <c r="F19" i="6"/>
  <c r="F66" i="6"/>
  <c r="AG21" i="6"/>
  <c r="AG68" i="6" s="1"/>
  <c r="V39" i="6"/>
  <c r="V86" i="6"/>
  <c r="AH24" i="6"/>
  <c r="AH71" i="6" s="1"/>
  <c r="T47" i="6"/>
  <c r="T94" i="6" s="1"/>
  <c r="V17" i="6"/>
  <c r="V64" i="6" s="1"/>
  <c r="Z11" i="6"/>
  <c r="Z58" i="6" s="1"/>
  <c r="BK13" i="6"/>
  <c r="BK60" i="6" s="1"/>
  <c r="Y19" i="6"/>
  <c r="Y66" i="6" s="1"/>
  <c r="J43" i="6"/>
  <c r="J90" i="6"/>
  <c r="BS21" i="6"/>
  <c r="BS68" i="6" s="1"/>
  <c r="P24" i="6"/>
  <c r="P71" i="6" s="1"/>
  <c r="AC43" i="6"/>
  <c r="AC90" i="6" s="1"/>
  <c r="AF46" i="6"/>
  <c r="AF93" i="6" s="1"/>
  <c r="S12" i="6"/>
  <c r="S59" i="6"/>
  <c r="X8" i="6"/>
  <c r="X55" i="6" s="1"/>
  <c r="AG38" i="6"/>
  <c r="AG85" i="6" s="1"/>
  <c r="L49" i="6"/>
  <c r="L96" i="6" s="1"/>
  <c r="AA36" i="6"/>
  <c r="AA83" i="6" s="1"/>
  <c r="AC42" i="6"/>
  <c r="AC89" i="6" s="1"/>
  <c r="AG37" i="6"/>
  <c r="AG84" i="6" s="1"/>
  <c r="BR28" i="6"/>
  <c r="BR75" i="6" s="1"/>
  <c r="AB48" i="6"/>
  <c r="AB95" i="6" s="1"/>
  <c r="H54" i="6"/>
  <c r="H7" i="6"/>
  <c r="BL20" i="6"/>
  <c r="BL67" i="6" s="1"/>
  <c r="V35" i="6"/>
  <c r="V82" i="6"/>
  <c r="M27" i="6"/>
  <c r="M74" i="6"/>
  <c r="L10" i="6"/>
  <c r="L57" i="6" s="1"/>
  <c r="BW35" i="6"/>
  <c r="BW82" i="6" s="1"/>
  <c r="S35" i="6"/>
  <c r="S82" i="6" s="1"/>
  <c r="BT12" i="6"/>
  <c r="BT59" i="6" s="1"/>
  <c r="AH49" i="6"/>
  <c r="AH96" i="6"/>
  <c r="AJ37" i="6"/>
  <c r="AJ84" i="6" s="1"/>
  <c r="AG35" i="6"/>
  <c r="AG82" i="6" s="1"/>
  <c r="T9" i="6"/>
  <c r="T56" i="6"/>
  <c r="BF15" i="6"/>
  <c r="BF62" i="6" s="1"/>
  <c r="Z49" i="6"/>
  <c r="Z96" i="6"/>
  <c r="AN57" i="6"/>
  <c r="I10" i="6"/>
  <c r="I57" i="6" s="1"/>
  <c r="P28" i="6"/>
  <c r="P75" i="6" s="1"/>
  <c r="BP12" i="6"/>
  <c r="BP59" i="6" s="1"/>
  <c r="AH21" i="6"/>
  <c r="AH68" i="6" s="1"/>
  <c r="Y26" i="6"/>
  <c r="Y73" i="6" s="1"/>
  <c r="Q36" i="6"/>
  <c r="Q83" i="6" s="1"/>
  <c r="AG32" i="6"/>
  <c r="AG79" i="6" s="1"/>
  <c r="AN86" i="6"/>
  <c r="S36" i="6"/>
  <c r="S83" i="6" s="1"/>
  <c r="K21" i="6"/>
  <c r="K68" i="6" s="1"/>
  <c r="R34" i="6"/>
  <c r="R81" i="6"/>
  <c r="BG36" i="6"/>
  <c r="BG83" i="6" s="1"/>
  <c r="G34" i="6"/>
  <c r="G81" i="6" s="1"/>
  <c r="AD7" i="6"/>
  <c r="AD54" i="6" s="1"/>
  <c r="AF9" i="6"/>
  <c r="AF56" i="6" s="1"/>
  <c r="S63" i="6"/>
  <c r="S16" i="6"/>
  <c r="AF18" i="6"/>
  <c r="AF65" i="6" s="1"/>
  <c r="Y12" i="6"/>
  <c r="Y59" i="6" s="1"/>
  <c r="AJ35" i="6"/>
  <c r="AJ82" i="6" s="1"/>
  <c r="X11" i="6"/>
  <c r="X58" i="6" s="1"/>
  <c r="Z37" i="6"/>
  <c r="Z84" i="6" s="1"/>
  <c r="BK19" i="6"/>
  <c r="BK66" i="6" s="1"/>
  <c r="K39" i="6"/>
  <c r="K86" i="6"/>
  <c r="BU26" i="6"/>
  <c r="BU73" i="6" s="1"/>
  <c r="AA49" i="6"/>
  <c r="AA96" i="6" s="1"/>
  <c r="F45" i="6"/>
  <c r="F92" i="6" s="1"/>
  <c r="G27" i="6"/>
  <c r="G74" i="6"/>
  <c r="BQ41" i="6"/>
  <c r="BQ88" i="6" s="1"/>
  <c r="AB19" i="6"/>
  <c r="AB66" i="6" s="1"/>
  <c r="X31" i="6"/>
  <c r="X78" i="6" s="1"/>
  <c r="M34" i="6"/>
  <c r="M81" i="6"/>
  <c r="BL33" i="6"/>
  <c r="BL80" i="6" s="1"/>
  <c r="S30" i="6"/>
  <c r="S77" i="6"/>
  <c r="N8" i="6"/>
  <c r="N55" i="6" s="1"/>
  <c r="M30" i="6"/>
  <c r="M77" i="6" s="1"/>
  <c r="G35" i="6"/>
  <c r="G82" i="6" s="1"/>
  <c r="BU8" i="6"/>
  <c r="BU55" i="6" s="1"/>
  <c r="O29" i="6"/>
  <c r="O76" i="6" s="1"/>
  <c r="AB86" i="6"/>
  <c r="AB39" i="6"/>
  <c r="L95" i="6"/>
  <c r="L48" i="6"/>
  <c r="AD48" i="6"/>
  <c r="AD95" i="6" s="1"/>
  <c r="BN17" i="6"/>
  <c r="BN64" i="6" s="1"/>
  <c r="BV25" i="6"/>
  <c r="BV72" i="6" s="1"/>
  <c r="I71" i="6"/>
  <c r="I24" i="6"/>
  <c r="BG32" i="6"/>
  <c r="BG79" i="6" s="1"/>
  <c r="L80" i="6"/>
  <c r="L33" i="6"/>
  <c r="R74" i="6"/>
  <c r="R27" i="6"/>
  <c r="J77" i="6"/>
  <c r="J30" i="6"/>
  <c r="BF28" i="6"/>
  <c r="BF75" i="6" s="1"/>
  <c r="P85" i="6"/>
  <c r="P38" i="6"/>
  <c r="BU28" i="6"/>
  <c r="BU75" i="6" s="1"/>
  <c r="X88" i="6"/>
  <c r="X41" i="6"/>
  <c r="P7" i="6"/>
  <c r="P54" i="6" s="1"/>
  <c r="BV29" i="6"/>
  <c r="BV76" i="6" s="1"/>
  <c r="AA66" i="6"/>
  <c r="AA19" i="6"/>
  <c r="L62" i="6"/>
  <c r="L15" i="6"/>
  <c r="O72" i="6"/>
  <c r="O25" i="6"/>
  <c r="BF22" i="6"/>
  <c r="BF69" i="6" s="1"/>
  <c r="AF22" i="6"/>
  <c r="AF69" i="6" s="1"/>
  <c r="Q15" i="6"/>
  <c r="Q62" i="6" s="1"/>
  <c r="T34" i="6"/>
  <c r="T81" i="6" s="1"/>
  <c r="BE31" i="6"/>
  <c r="BE78" i="6" s="1"/>
  <c r="AH7" i="6"/>
  <c r="AH54" i="6" s="1"/>
  <c r="T59" i="6"/>
  <c r="T12" i="6"/>
  <c r="G68" i="6"/>
  <c r="G21" i="6"/>
  <c r="Q7" i="6"/>
  <c r="Q54" i="6" s="1"/>
  <c r="BE23" i="6"/>
  <c r="BE70" i="6" s="1"/>
  <c r="AJ7" i="6"/>
  <c r="AJ54" i="6" s="1"/>
  <c r="AB7" i="6"/>
  <c r="AB54" i="6" s="1"/>
  <c r="BU22" i="6"/>
  <c r="BU69" i="6" s="1"/>
  <c r="I55" i="6"/>
  <c r="I8" i="6"/>
  <c r="K77" i="6"/>
  <c r="K30" i="6"/>
  <c r="AD31" i="6"/>
  <c r="AD78" i="6" s="1"/>
  <c r="J41" i="6"/>
  <c r="J88" i="6" s="1"/>
  <c r="L43" i="6"/>
  <c r="L90" i="6" s="1"/>
  <c r="O38" i="6"/>
  <c r="O85" i="6" s="1"/>
  <c r="AQ6" i="6"/>
  <c r="AQ53" i="6" s="1"/>
  <c r="Z85" i="6"/>
  <c r="Z38" i="6"/>
  <c r="Z94" i="6"/>
  <c r="Z47" i="6"/>
  <c r="X67" i="6"/>
  <c r="X20" i="6"/>
  <c r="AL81" i="6"/>
  <c r="BE20" i="6"/>
  <c r="BE67" i="6" s="1"/>
  <c r="H27" i="6"/>
  <c r="H74" i="6" s="1"/>
  <c r="J65" i="6"/>
  <c r="J18" i="6"/>
  <c r="V19" i="6"/>
  <c r="V66" i="6" s="1"/>
  <c r="Y40" i="6"/>
  <c r="Y87" i="6" s="1"/>
  <c r="S64" i="6"/>
  <c r="S17" i="6"/>
  <c r="K93" i="6"/>
  <c r="K46" i="6"/>
  <c r="AO56" i="6"/>
  <c r="AI70" i="6"/>
  <c r="AI23" i="6"/>
  <c r="R40" i="6"/>
  <c r="R87" i="6" s="1"/>
  <c r="G16" i="6"/>
  <c r="G63" i="6" s="1"/>
  <c r="T79" i="6"/>
  <c r="T32" i="6"/>
  <c r="O75" i="6"/>
  <c r="O28" i="6"/>
  <c r="AD96" i="6"/>
  <c r="AD49" i="6"/>
  <c r="BJ22" i="6"/>
  <c r="BJ69" i="6" s="1"/>
  <c r="F27" i="6"/>
  <c r="F74" i="6" s="1"/>
  <c r="BP26" i="6"/>
  <c r="BP73" i="6" s="1"/>
  <c r="BV36" i="6"/>
  <c r="BV83" i="6" s="1"/>
  <c r="BP24" i="6"/>
  <c r="BP71" i="6" s="1"/>
  <c r="AD61" i="6"/>
  <c r="AD14" i="6"/>
  <c r="Y22" i="6"/>
  <c r="Y69" i="6" s="1"/>
  <c r="AG94" i="6"/>
  <c r="AG47" i="6"/>
  <c r="I25" i="6"/>
  <c r="I72" i="6" s="1"/>
  <c r="Q37" i="6"/>
  <c r="Q84" i="6" s="1"/>
  <c r="AJ29" i="6"/>
  <c r="AJ76" i="6" s="1"/>
  <c r="BH34" i="6"/>
  <c r="BH81" i="6" s="1"/>
  <c r="O40" i="6"/>
  <c r="O87" i="6" s="1"/>
  <c r="BS43" i="6"/>
  <c r="BS90" i="6" s="1"/>
  <c r="AD43" i="6"/>
  <c r="AD90" i="6" s="1"/>
  <c r="V30" i="6"/>
  <c r="V77" i="6" s="1"/>
  <c r="BO11" i="6"/>
  <c r="BO58" i="6" s="1"/>
  <c r="BM13" i="6"/>
  <c r="BM60" i="6" s="1"/>
  <c r="T17" i="6"/>
  <c r="T64" i="6" s="1"/>
  <c r="R88" i="6"/>
  <c r="R41" i="6"/>
  <c r="BT31" i="6"/>
  <c r="BT78" i="6" s="1"/>
  <c r="V49" i="6"/>
  <c r="V96" i="6" s="1"/>
  <c r="L63" i="6"/>
  <c r="L16" i="6"/>
  <c r="BS26" i="6"/>
  <c r="BS73" i="6" s="1"/>
  <c r="BW19" i="6"/>
  <c r="BW66" i="6" s="1"/>
  <c r="P84" i="6"/>
  <c r="P37" i="6"/>
  <c r="Q40" i="6"/>
  <c r="Q87" i="6" s="1"/>
  <c r="O62" i="6"/>
  <c r="O15" i="6"/>
  <c r="BN40" i="6"/>
  <c r="BN87" i="6" s="1"/>
  <c r="I74" i="6"/>
  <c r="I27" i="6"/>
  <c r="G23" i="6"/>
  <c r="G70" i="6" s="1"/>
  <c r="BJ27" i="6"/>
  <c r="BJ74" i="6" s="1"/>
  <c r="BK12" i="6"/>
  <c r="BK59" i="6" s="1"/>
  <c r="BT36" i="6"/>
  <c r="BT83" i="6" s="1"/>
  <c r="BT26" i="6"/>
  <c r="BT73" i="6" s="1"/>
  <c r="BH10" i="6"/>
  <c r="BH57" i="6" s="1"/>
  <c r="BE26" i="6"/>
  <c r="BE73" i="6" s="1"/>
  <c r="AI55" i="6"/>
  <c r="AI8" i="6"/>
  <c r="I70" i="6"/>
  <c r="I23" i="6"/>
  <c r="AJ20" i="6"/>
  <c r="AJ67" i="6" s="1"/>
  <c r="R65" i="6"/>
  <c r="R18" i="6"/>
  <c r="AD57" i="6"/>
  <c r="AD10" i="6"/>
  <c r="M47" i="6"/>
  <c r="M94" i="6" s="1"/>
  <c r="V80" i="6"/>
  <c r="V33" i="6"/>
  <c r="W76" i="6"/>
  <c r="W29" i="6"/>
  <c r="BN12" i="6"/>
  <c r="BN59" i="6" s="1"/>
  <c r="BM25" i="6"/>
  <c r="BM72" i="6" s="1"/>
  <c r="AG22" i="6"/>
  <c r="AG69" i="6" s="1"/>
  <c r="BL13" i="6"/>
  <c r="BL60" i="6" s="1"/>
  <c r="BR22" i="6"/>
  <c r="BR69" i="6" s="1"/>
  <c r="W22" i="6"/>
  <c r="W69" i="6" s="1"/>
  <c r="Q28" i="6"/>
  <c r="Q75" i="6" s="1"/>
  <c r="BV33" i="6"/>
  <c r="BV80" i="6" s="1"/>
  <c r="M57" i="6"/>
  <c r="M10" i="6"/>
  <c r="P39" i="6"/>
  <c r="P86" i="6"/>
  <c r="BV40" i="6"/>
  <c r="BV87" i="6" s="1"/>
  <c r="BN27" i="6"/>
  <c r="BN74" i="6" s="1"/>
  <c r="X48" i="6"/>
  <c r="X95" i="6" s="1"/>
  <c r="R24" i="6"/>
  <c r="R71" i="6" s="1"/>
  <c r="BH41" i="6"/>
  <c r="BH88" i="6" s="1"/>
  <c r="V37" i="6"/>
  <c r="V84" i="6" s="1"/>
  <c r="Q32" i="6"/>
  <c r="Q79" i="6"/>
  <c r="BE10" i="6"/>
  <c r="BE57" i="6" s="1"/>
  <c r="V28" i="6"/>
  <c r="V75" i="6" s="1"/>
  <c r="BQ7" i="6"/>
  <c r="BQ54" i="6" s="1"/>
  <c r="BS17" i="6"/>
  <c r="BS64" i="6" s="1"/>
  <c r="BQ37" i="6"/>
  <c r="BQ84" i="6" s="1"/>
  <c r="T6" i="6"/>
  <c r="T53" i="6"/>
  <c r="BO29" i="6"/>
  <c r="BO76" i="6" s="1"/>
  <c r="AA44" i="6"/>
  <c r="AA91" i="6" s="1"/>
  <c r="AG45" i="6"/>
  <c r="AG92" i="6" s="1"/>
  <c r="F49" i="6"/>
  <c r="F96" i="6" s="1"/>
  <c r="BV14" i="6"/>
  <c r="BV61" i="6" s="1"/>
  <c r="BG19" i="6"/>
  <c r="BG66" i="6" s="1"/>
  <c r="W12" i="6"/>
  <c r="W59" i="6" s="1"/>
  <c r="N84" i="6"/>
  <c r="N37" i="6"/>
  <c r="G11" i="6"/>
  <c r="G58" i="6"/>
  <c r="BV22" i="6"/>
  <c r="BV69" i="6" s="1"/>
  <c r="L30" i="6"/>
  <c r="L77" i="6" s="1"/>
  <c r="Y88" i="6"/>
  <c r="Y41" i="6"/>
  <c r="F16" i="6"/>
  <c r="F63" i="6" s="1"/>
  <c r="AB14" i="6"/>
  <c r="AB61" i="6" s="1"/>
  <c r="F46" i="6"/>
  <c r="F93" i="6"/>
  <c r="P19" i="6"/>
  <c r="P66" i="6" s="1"/>
  <c r="BK16" i="6"/>
  <c r="BK63" i="6" s="1"/>
  <c r="BH28" i="6"/>
  <c r="BH75" i="6" s="1"/>
  <c r="T10" i="6"/>
  <c r="T57" i="6"/>
  <c r="BE36" i="6"/>
  <c r="BE83" i="6" s="1"/>
  <c r="BS34" i="6"/>
  <c r="BS81" i="6" s="1"/>
  <c r="W24" i="6"/>
  <c r="W71" i="6" s="1"/>
  <c r="AD25" i="6"/>
  <c r="AD72" i="6"/>
  <c r="BL11" i="6"/>
  <c r="BL58" i="6" s="1"/>
  <c r="G32" i="6"/>
  <c r="G79" i="6"/>
  <c r="BR32" i="6"/>
  <c r="BR79" i="6" s="1"/>
  <c r="Q43" i="6"/>
  <c r="Q90" i="6" s="1"/>
  <c r="M21" i="6"/>
  <c r="M68" i="6" s="1"/>
  <c r="K31" i="6"/>
  <c r="K78" i="6" s="1"/>
  <c r="N69" i="6"/>
  <c r="N22" i="6"/>
  <c r="S39" i="6"/>
  <c r="S86" i="6" s="1"/>
  <c r="BE40" i="6"/>
  <c r="BE87" i="6" s="1"/>
  <c r="BF6" i="6"/>
  <c r="BF53" i="6" s="1"/>
  <c r="T38" i="6"/>
  <c r="T85" i="6" s="1"/>
  <c r="F9" i="6"/>
  <c r="F56" i="6"/>
  <c r="BW31" i="6"/>
  <c r="BW78" i="6" s="1"/>
  <c r="I49" i="6"/>
  <c r="I96" i="6" s="1"/>
  <c r="BM17" i="6"/>
  <c r="BM64" i="6" s="1"/>
  <c r="AH42" i="6"/>
  <c r="AH89" i="6" s="1"/>
  <c r="BP43" i="6"/>
  <c r="BP90" i="6" s="1"/>
  <c r="Y33" i="6"/>
  <c r="Y80" i="6" s="1"/>
  <c r="AG46" i="6"/>
  <c r="AG93" i="6" s="1"/>
  <c r="BG17" i="6"/>
  <c r="BG64" i="6" s="1"/>
  <c r="G96" i="6"/>
  <c r="G49" i="6"/>
  <c r="BF13" i="6"/>
  <c r="BF60" i="6" s="1"/>
  <c r="T15" i="6"/>
  <c r="T62" i="6"/>
  <c r="O20" i="6"/>
  <c r="O67" i="6" s="1"/>
  <c r="S11" i="6"/>
  <c r="S58" i="6" s="1"/>
  <c r="AF10" i="6"/>
  <c r="AF57" i="6" s="1"/>
  <c r="F14" i="6"/>
  <c r="F61" i="6"/>
  <c r="BH37" i="6"/>
  <c r="BH84" i="6" s="1"/>
  <c r="K15" i="6"/>
  <c r="K62" i="6" s="1"/>
  <c r="BO26" i="6"/>
  <c r="BO73" i="6" s="1"/>
  <c r="BK28" i="6"/>
  <c r="BK75" i="6" s="1"/>
  <c r="AF85" i="6"/>
  <c r="AF38" i="6"/>
  <c r="S43" i="6"/>
  <c r="S90" i="6" s="1"/>
  <c r="BQ26" i="6"/>
  <c r="BQ73" i="6" s="1"/>
  <c r="Z35" i="6"/>
  <c r="Z82" i="6" s="1"/>
  <c r="I88" i="6"/>
  <c r="I41" i="6"/>
  <c r="T41" i="6"/>
  <c r="T88" i="6" s="1"/>
  <c r="O53" i="6"/>
  <c r="O6" i="6"/>
  <c r="Q60" i="6"/>
  <c r="Q13" i="6"/>
  <c r="BG12" i="6"/>
  <c r="BG59" i="6" s="1"/>
  <c r="BH15" i="6"/>
  <c r="BH62" i="6" s="1"/>
  <c r="BN7" i="6"/>
  <c r="BN54" i="6" s="1"/>
  <c r="BU19" i="6"/>
  <c r="BU66" i="6" s="1"/>
  <c r="X56" i="6"/>
  <c r="X9" i="6"/>
  <c r="BG14" i="6"/>
  <c r="BG61" i="6" s="1"/>
  <c r="X15" i="6"/>
  <c r="X62" i="6" s="1"/>
  <c r="AH41" i="6"/>
  <c r="AH88" i="6" s="1"/>
  <c r="N36" i="6"/>
  <c r="N83" i="6" s="1"/>
  <c r="X17" i="6"/>
  <c r="X64" i="6" s="1"/>
  <c r="BJ6" i="6"/>
  <c r="BJ53" i="6" s="1"/>
  <c r="Z93" i="6"/>
  <c r="Z46" i="6"/>
  <c r="BS40" i="6"/>
  <c r="BS87" i="6" s="1"/>
  <c r="AF21" i="6"/>
  <c r="AF68" i="6" s="1"/>
  <c r="P95" i="6"/>
  <c r="P48" i="6"/>
  <c r="Z16" i="6"/>
  <c r="Z63" i="6" s="1"/>
  <c r="W47" i="6"/>
  <c r="W94" i="6" s="1"/>
  <c r="BO13" i="6"/>
  <c r="BO60" i="6" s="1"/>
  <c r="Z13" i="6"/>
  <c r="Z60" i="6" s="1"/>
  <c r="BM32" i="6"/>
  <c r="BM79" i="6" s="1"/>
  <c r="N92" i="6"/>
  <c r="N45" i="6"/>
  <c r="BF26" i="6"/>
  <c r="BF73" i="6" s="1"/>
  <c r="H12" i="6"/>
  <c r="H59" i="6" s="1"/>
  <c r="BF43" i="6"/>
  <c r="BF90" i="6" s="1"/>
  <c r="L87" i="6"/>
  <c r="L40" i="6"/>
  <c r="P18" i="6"/>
  <c r="P65" i="6" s="1"/>
  <c r="J25" i="6"/>
  <c r="J72" i="6" s="1"/>
  <c r="BR34" i="6"/>
  <c r="BR81" i="6" s="1"/>
  <c r="BW8" i="6"/>
  <c r="BW55" i="6" s="1"/>
  <c r="BF39" i="6"/>
  <c r="BF86" i="6" s="1"/>
  <c r="H23" i="6"/>
  <c r="H70" i="6" s="1"/>
  <c r="BH24" i="6"/>
  <c r="BH71" i="6" s="1"/>
  <c r="J39" i="6"/>
  <c r="J86" i="6" s="1"/>
  <c r="BN20" i="6"/>
  <c r="BN67" i="6" s="1"/>
  <c r="BE13" i="6"/>
  <c r="BE60" i="6" s="1"/>
  <c r="AG26" i="6"/>
  <c r="AG73" i="6" s="1"/>
  <c r="K90" i="6"/>
  <c r="K43" i="6"/>
  <c r="G26" i="6"/>
  <c r="G73" i="6" s="1"/>
  <c r="BG25" i="6"/>
  <c r="BG72" i="6" s="1"/>
  <c r="BO33" i="6"/>
  <c r="BO80" i="6" s="1"/>
  <c r="Q22" i="6"/>
  <c r="Q69" i="6" s="1"/>
  <c r="BM43" i="6"/>
  <c r="BM90" i="6" s="1"/>
  <c r="K57" i="6"/>
  <c r="K10" i="6"/>
  <c r="BW37" i="6"/>
  <c r="BW84" i="6" s="1"/>
  <c r="Y14" i="6"/>
  <c r="Y61" i="6" s="1"/>
  <c r="J10" i="6"/>
  <c r="J57" i="6" s="1"/>
  <c r="H40" i="6"/>
  <c r="H87" i="6" s="1"/>
  <c r="W13" i="6"/>
  <c r="W60" i="6" s="1"/>
  <c r="BF16" i="6"/>
  <c r="BF63" i="6" s="1"/>
  <c r="G71" i="6"/>
  <c r="G24" i="6"/>
  <c r="N88" i="6"/>
  <c r="N41" i="6"/>
  <c r="AA34" i="6"/>
  <c r="AA81" i="6" s="1"/>
  <c r="G12" i="6"/>
  <c r="G59" i="6" s="1"/>
  <c r="BW27" i="6"/>
  <c r="BW74" i="6" s="1"/>
  <c r="BN39" i="6"/>
  <c r="BN86" i="6" s="1"/>
  <c r="BW14" i="6"/>
  <c r="BW61" i="6" s="1"/>
  <c r="M19" i="6"/>
  <c r="M66" i="6" s="1"/>
  <c r="K88" i="6"/>
  <c r="K41" i="6"/>
  <c r="AA10" i="6"/>
  <c r="AA57" i="6" s="1"/>
  <c r="BW20" i="6"/>
  <c r="BW67" i="6" s="1"/>
  <c r="BR7" i="6"/>
  <c r="BR54" i="6" s="1"/>
  <c r="H56" i="6"/>
  <c r="H9" i="6"/>
  <c r="BH30" i="6"/>
  <c r="BH77" i="6" s="1"/>
  <c r="BE30" i="6"/>
  <c r="BE77" i="6" s="1"/>
  <c r="BE34" i="6"/>
  <c r="BE81" i="6" s="1"/>
  <c r="BF38" i="6"/>
  <c r="BF85" i="6" s="1"/>
  <c r="BM14" i="6"/>
  <c r="BM61" i="6" s="1"/>
  <c r="BT32" i="6"/>
  <c r="BT79" i="6" s="1"/>
  <c r="G14" i="6"/>
  <c r="G61" i="6" s="1"/>
  <c r="P77" i="6"/>
  <c r="P30" i="6"/>
  <c r="K17" i="6"/>
  <c r="K64" i="6" s="1"/>
  <c r="AI38" i="6"/>
  <c r="AI85" i="6" s="1"/>
  <c r="BP10" i="6"/>
  <c r="BP57" i="6" s="1"/>
  <c r="V70" i="6"/>
  <c r="V23" i="6"/>
  <c r="BO20" i="6"/>
  <c r="BO67" i="6" s="1"/>
  <c r="K22" i="6"/>
  <c r="K69" i="6" s="1"/>
  <c r="N72" i="6"/>
  <c r="N25" i="6"/>
  <c r="N32" i="6"/>
  <c r="N79" i="6" s="1"/>
  <c r="J68" i="6"/>
  <c r="J21" i="6"/>
  <c r="F31" i="6"/>
  <c r="F78" i="6" s="1"/>
  <c r="AD42" i="6"/>
  <c r="AD89" i="6" s="1"/>
  <c r="AE29" i="6"/>
  <c r="AE76" i="6" s="1"/>
  <c r="BE11" i="6"/>
  <c r="BE58" i="6" s="1"/>
  <c r="BJ25" i="6"/>
  <c r="BJ72" i="6" s="1"/>
  <c r="AD32" i="6"/>
  <c r="AD79" i="6" s="1"/>
  <c r="AE40" i="6"/>
  <c r="AE87" i="6" s="1"/>
  <c r="BU35" i="6"/>
  <c r="BU82" i="6" s="1"/>
  <c r="BQ13" i="6"/>
  <c r="BQ60" i="6" s="1"/>
  <c r="BF29" i="6"/>
  <c r="BF76" i="6" s="1"/>
  <c r="AB30" i="6"/>
  <c r="AB77" i="6"/>
  <c r="Q33" i="6"/>
  <c r="Q80" i="6" s="1"/>
  <c r="BO40" i="6"/>
  <c r="BO87" i="6" s="1"/>
  <c r="AJ14" i="6"/>
  <c r="AJ61" i="6" s="1"/>
  <c r="S10" i="6"/>
  <c r="S57" i="6" s="1"/>
  <c r="BF7" i="6"/>
  <c r="BF54" i="6" s="1"/>
  <c r="BQ33" i="6"/>
  <c r="BQ80" i="6" s="1"/>
  <c r="BO9" i="6"/>
  <c r="BO56" i="6" s="1"/>
  <c r="K8" i="6"/>
  <c r="K55" i="6"/>
  <c r="BU43" i="6"/>
  <c r="BU90" i="6" s="1"/>
  <c r="BU18" i="6"/>
  <c r="BU65" i="6" s="1"/>
  <c r="H20" i="6"/>
  <c r="H67" i="6" s="1"/>
  <c r="BR29" i="6"/>
  <c r="BR76" i="6" s="1"/>
  <c r="N67" i="6"/>
  <c r="N20" i="6"/>
  <c r="M45" i="6"/>
  <c r="M92" i="6"/>
  <c r="BL31" i="6"/>
  <c r="BL78" i="6" s="1"/>
  <c r="BM29" i="6"/>
  <c r="BM76" i="6" s="1"/>
  <c r="BQ10" i="6"/>
  <c r="BQ57" i="6" s="1"/>
  <c r="R29" i="6"/>
  <c r="R76" i="6" s="1"/>
  <c r="BU27" i="6"/>
  <c r="BU74" i="6" s="1"/>
  <c r="J15" i="6"/>
  <c r="J62" i="6"/>
  <c r="BO32" i="6"/>
  <c r="BO79" i="6" s="1"/>
  <c r="P25" i="6"/>
  <c r="P72" i="6" s="1"/>
  <c r="BJ7" i="6"/>
  <c r="BJ54" i="6" s="1"/>
  <c r="R47" i="6"/>
  <c r="R94" i="6" s="1"/>
  <c r="I60" i="6"/>
  <c r="I13" i="6"/>
  <c r="BM7" i="6"/>
  <c r="BM54" i="6" s="1"/>
  <c r="L69" i="6"/>
  <c r="L22" i="6"/>
  <c r="R46" i="6"/>
  <c r="R93" i="6"/>
  <c r="L65" i="6"/>
  <c r="L18" i="6"/>
  <c r="S41" i="6"/>
  <c r="S88" i="6"/>
  <c r="AF75" i="6"/>
  <c r="AF28" i="6"/>
  <c r="AH12" i="6"/>
  <c r="AH59" i="6" s="1"/>
  <c r="N29" i="6"/>
  <c r="N76" i="6" s="1"/>
  <c r="N42" i="6"/>
  <c r="N89" i="6"/>
  <c r="BQ21" i="6"/>
  <c r="BQ68" i="6" s="1"/>
  <c r="O39" i="6"/>
  <c r="O86" i="6"/>
  <c r="V69" i="6"/>
  <c r="V22" i="6"/>
  <c r="BK31" i="6"/>
  <c r="BK78" i="6" s="1"/>
  <c r="BH36" i="6"/>
  <c r="BH83" i="6" s="1"/>
  <c r="BW24" i="6"/>
  <c r="BW71" i="6" s="1"/>
  <c r="BL28" i="6"/>
  <c r="BL75" i="6" s="1"/>
  <c r="Z43" i="6"/>
  <c r="Z90" i="6" s="1"/>
  <c r="BF19" i="6"/>
  <c r="BF66" i="6" s="1"/>
  <c r="O55" i="6"/>
  <c r="O8" i="6"/>
  <c r="BW30" i="6"/>
  <c r="BW77" i="6" s="1"/>
  <c r="BN25" i="6"/>
  <c r="BN72" i="6" s="1"/>
  <c r="BQ15" i="6"/>
  <c r="BQ62" i="6" s="1"/>
  <c r="BS13" i="6"/>
  <c r="BS60" i="6" s="1"/>
  <c r="I43" i="6"/>
  <c r="I90" i="6" s="1"/>
  <c r="BS19" i="6"/>
  <c r="BS66" i="6" s="1"/>
  <c r="BJ15" i="6"/>
  <c r="BJ62" i="6" s="1"/>
  <c r="BE8" i="6"/>
  <c r="BE55" i="6" s="1"/>
  <c r="AD8" i="6"/>
  <c r="AD55" i="6" s="1"/>
  <c r="N9" i="6"/>
  <c r="N56" i="6" s="1"/>
  <c r="AA78" i="6"/>
  <c r="AA31" i="6"/>
  <c r="AB36" i="6"/>
  <c r="AB83" i="6" s="1"/>
  <c r="BQ31" i="6"/>
  <c r="BQ78" i="6" s="1"/>
  <c r="K75" i="6"/>
  <c r="K28" i="6"/>
  <c r="J38" i="6"/>
  <c r="J85" i="6" s="1"/>
  <c r="P40" i="6"/>
  <c r="P87" i="6" s="1"/>
  <c r="BS9" i="6"/>
  <c r="BS56" i="6" s="1"/>
  <c r="BP30" i="6"/>
  <c r="BP77" i="6" s="1"/>
  <c r="S6" i="6"/>
  <c r="S53" i="6" s="1"/>
  <c r="BU41" i="6"/>
  <c r="BU88" i="6" s="1"/>
  <c r="N66" i="6"/>
  <c r="N19" i="6"/>
  <c r="O93" i="6"/>
  <c r="O46" i="6"/>
  <c r="AB94" i="6"/>
  <c r="AB47" i="6"/>
  <c r="AE83" i="6"/>
  <c r="AE36" i="6"/>
  <c r="AF73" i="6"/>
  <c r="AF26" i="6"/>
  <c r="AA45" i="6"/>
  <c r="AA92" i="6" s="1"/>
  <c r="BK11" i="6"/>
  <c r="BK58" i="6" s="1"/>
  <c r="H80" i="6"/>
  <c r="H33" i="6"/>
  <c r="BL14" i="6"/>
  <c r="BL61" i="6" s="1"/>
  <c r="BJ10" i="6"/>
  <c r="BJ57" i="6" s="1"/>
  <c r="BF32" i="6"/>
  <c r="BF79" i="6" s="1"/>
  <c r="S54" i="6"/>
  <c r="S7" i="6"/>
  <c r="J70" i="6"/>
  <c r="J23" i="6"/>
  <c r="M53" i="6"/>
  <c r="M6" i="6"/>
  <c r="BR16" i="6"/>
  <c r="BR63" i="6" s="1"/>
  <c r="Q39" i="6"/>
  <c r="Q86" i="6" s="1"/>
  <c r="Q78" i="6"/>
  <c r="Q31" i="6"/>
  <c r="BR42" i="6"/>
  <c r="BR89" i="6" s="1"/>
  <c r="BH7" i="6"/>
  <c r="BH54" i="6" s="1"/>
  <c r="N59" i="6"/>
  <c r="N12" i="6"/>
  <c r="J87" i="6"/>
  <c r="J40" i="6"/>
  <c r="BS32" i="6"/>
  <c r="BS79" i="6" s="1"/>
  <c r="Q64" i="6"/>
  <c r="Q17" i="6"/>
  <c r="BM28" i="6"/>
  <c r="BM75" i="6" s="1"/>
  <c r="BK26" i="6"/>
  <c r="BK73" i="6" s="1"/>
  <c r="BM12" i="6"/>
  <c r="BM59" i="6" s="1"/>
  <c r="BR18" i="6"/>
  <c r="BR65" i="6" s="1"/>
  <c r="BQ38" i="6"/>
  <c r="BQ85" i="6" s="1"/>
  <c r="F89" i="6"/>
  <c r="F42" i="6"/>
  <c r="AG14" i="6"/>
  <c r="AG61" i="6" s="1"/>
  <c r="BO21" i="6"/>
  <c r="BO68" i="6" s="1"/>
  <c r="BV37" i="6"/>
  <c r="BV84" i="6" s="1"/>
  <c r="BE27" i="6"/>
  <c r="BE74" i="6" s="1"/>
  <c r="P63" i="6"/>
  <c r="P16" i="6"/>
  <c r="X13" i="6"/>
  <c r="X60" i="6" s="1"/>
  <c r="L71" i="6"/>
  <c r="L24" i="6"/>
  <c r="BO19" i="6"/>
  <c r="BO66" i="6" s="1"/>
  <c r="M58" i="6"/>
  <c r="M11" i="6"/>
  <c r="AH20" i="6"/>
  <c r="AH67" i="6" s="1"/>
  <c r="G67" i="6"/>
  <c r="G20" i="6"/>
  <c r="N33" i="6"/>
  <c r="N80" i="6" s="1"/>
  <c r="T61" i="6"/>
  <c r="T14" i="6"/>
  <c r="BN13" i="6"/>
  <c r="BN60" i="6" s="1"/>
  <c r="AB27" i="6"/>
  <c r="AB74" i="6" s="1"/>
  <c r="AC31" i="6"/>
  <c r="AC78" i="6"/>
  <c r="BQ43" i="6"/>
  <c r="BQ90" i="6" s="1"/>
  <c r="AH15" i="6"/>
  <c r="AH62" i="6" s="1"/>
  <c r="AC24" i="6"/>
  <c r="AC71" i="6" s="1"/>
  <c r="BJ28" i="6"/>
  <c r="BJ75" i="6" s="1"/>
  <c r="AC23" i="6"/>
  <c r="AC70" i="6" s="1"/>
  <c r="AF47" i="6"/>
  <c r="AF94" i="6" s="1"/>
  <c r="BT38" i="6"/>
  <c r="BT85" i="6" s="1"/>
  <c r="V41" i="6"/>
  <c r="V88" i="6" s="1"/>
  <c r="AE26" i="6"/>
  <c r="AE73" i="6" s="1"/>
  <c r="S32" i="6"/>
  <c r="S79" i="6" s="1"/>
  <c r="AG19" i="6"/>
  <c r="AG66" i="6" s="1"/>
  <c r="BS12" i="6"/>
  <c r="BS59" i="6" s="1"/>
  <c r="K42" i="6"/>
  <c r="K89" i="6" s="1"/>
  <c r="BL8" i="6"/>
  <c r="BL55" i="6" s="1"/>
  <c r="Z59" i="6"/>
  <c r="Z12" i="6"/>
  <c r="BR9" i="6"/>
  <c r="BR56" i="6" s="1"/>
  <c r="AJ46" i="6"/>
  <c r="AJ93" i="6" s="1"/>
  <c r="AG31" i="6"/>
  <c r="AG78" i="6" s="1"/>
  <c r="AM81" i="6"/>
  <c r="AG33" i="6"/>
  <c r="AG80" i="6" s="1"/>
  <c r="R7" i="6"/>
  <c r="R54" i="6" s="1"/>
  <c r="BM38" i="6"/>
  <c r="BM85" i="6" s="1"/>
  <c r="BT40" i="6"/>
  <c r="BT87" i="6" s="1"/>
  <c r="BM21" i="6"/>
  <c r="BM68" i="6" s="1"/>
  <c r="AJ80" i="6"/>
  <c r="AJ33" i="6"/>
  <c r="I68" i="6"/>
  <c r="I21" i="6"/>
  <c r="BT29" i="6"/>
  <c r="BT76" i="6" s="1"/>
  <c r="BR33" i="6"/>
  <c r="BR80" i="6" s="1"/>
  <c r="T68" i="6"/>
  <c r="T21" i="6"/>
  <c r="BJ26" i="6"/>
  <c r="BJ73" i="6" s="1"/>
  <c r="AO83" i="6"/>
  <c r="AC38" i="6"/>
  <c r="AC85" i="6" s="1"/>
  <c r="N53" i="6"/>
  <c r="N6" i="6"/>
  <c r="H34" i="6"/>
  <c r="H81" i="6" s="1"/>
  <c r="P21" i="6"/>
  <c r="P68" i="6" s="1"/>
  <c r="AB43" i="6"/>
  <c r="AB90" i="6" s="1"/>
  <c r="BR11" i="6"/>
  <c r="BR58" i="6" s="1"/>
  <c r="L85" i="6"/>
  <c r="L38" i="6"/>
  <c r="BG28" i="6"/>
  <c r="BG75" i="6" s="1"/>
  <c r="BF10" i="6"/>
  <c r="BF57" i="6" s="1"/>
  <c r="W14" i="6"/>
  <c r="W61" i="6" s="1"/>
  <c r="AF34" i="6"/>
  <c r="AF81" i="6" s="1"/>
  <c r="H13" i="6"/>
  <c r="H60" i="6" s="1"/>
  <c r="W42" i="6"/>
  <c r="W89" i="6" s="1"/>
  <c r="T89" i="6"/>
  <c r="T42" i="6"/>
  <c r="AI47" i="6"/>
  <c r="AI94" i="6" s="1"/>
  <c r="AE95" i="6"/>
  <c r="AE48" i="6"/>
  <c r="AA16" i="6"/>
  <c r="AA63" i="6" s="1"/>
  <c r="F15" i="6"/>
  <c r="F62" i="6" s="1"/>
  <c r="Q29" i="6"/>
  <c r="Q76" i="6" s="1"/>
  <c r="M46" i="6"/>
  <c r="M93" i="6" s="1"/>
  <c r="T43" i="6"/>
  <c r="T90" i="6" s="1"/>
  <c r="F64" i="6"/>
  <c r="F17" i="6"/>
  <c r="AG10" i="6"/>
  <c r="AG57" i="6" s="1"/>
  <c r="AE37" i="6"/>
  <c r="AE84" i="6" s="1"/>
  <c r="W19" i="6"/>
  <c r="W66" i="6" s="1"/>
  <c r="V32" i="6"/>
  <c r="V79" i="6" s="1"/>
  <c r="AF30" i="6"/>
  <c r="AF77" i="6" s="1"/>
  <c r="K7" i="6"/>
  <c r="K54" i="6" s="1"/>
  <c r="AI92" i="6"/>
  <c r="AI45" i="6"/>
  <c r="J9" i="6"/>
  <c r="J56" i="6" s="1"/>
  <c r="BM31" i="6"/>
  <c r="BM78" i="6" s="1"/>
  <c r="BP21" i="6"/>
  <c r="BP68" i="6" s="1"/>
  <c r="Q93" i="6"/>
  <c r="Q46" i="6"/>
  <c r="AN61" i="6"/>
  <c r="AN63" i="6"/>
  <c r="AH32" i="6"/>
  <c r="AH79" i="6" s="1"/>
  <c r="W9" i="6"/>
  <c r="W56" i="6" s="1"/>
  <c r="O49" i="6"/>
  <c r="O96" i="6" s="1"/>
  <c r="BK43" i="6"/>
  <c r="BK90" i="6" s="1"/>
  <c r="O23" i="6"/>
  <c r="O70" i="6" s="1"/>
  <c r="BU24" i="6"/>
  <c r="BU71" i="6" s="1"/>
  <c r="L7" i="6"/>
  <c r="L54" i="6" s="1"/>
  <c r="BE24" i="6"/>
  <c r="BE71" i="6" s="1"/>
  <c r="BE17" i="6"/>
  <c r="BE64" i="6" s="1"/>
  <c r="T40" i="6"/>
  <c r="T87" i="6" s="1"/>
  <c r="F36" i="6"/>
  <c r="F83" i="6" s="1"/>
  <c r="F71" i="6"/>
  <c r="F24" i="6"/>
  <c r="AH8" i="6"/>
  <c r="AH55" i="6" s="1"/>
  <c r="BR27" i="6"/>
  <c r="BR74" i="6" s="1"/>
  <c r="BF18" i="6"/>
  <c r="BF65" i="6" s="1"/>
  <c r="BK9" i="6"/>
  <c r="BK56" i="6" s="1"/>
  <c r="Y43" i="6"/>
  <c r="Y90" i="6" s="1"/>
  <c r="BR25" i="6"/>
  <c r="BR72" i="6" s="1"/>
  <c r="BH29" i="6"/>
  <c r="BH76" i="6" s="1"/>
  <c r="BU15" i="6"/>
  <c r="BU62" i="6" s="1"/>
  <c r="R25" i="6"/>
  <c r="R72" i="6" s="1"/>
  <c r="L21" i="6"/>
  <c r="L68" i="6" s="1"/>
  <c r="BV15" i="6"/>
  <c r="BV62" i="6" s="1"/>
  <c r="AC36" i="6"/>
  <c r="AC83" i="6" s="1"/>
  <c r="BO41" i="6"/>
  <c r="BO88" i="6" s="1"/>
  <c r="J17" i="6"/>
  <c r="J64" i="6" s="1"/>
  <c r="J81" i="6"/>
  <c r="J34" i="6"/>
  <c r="I30" i="6"/>
  <c r="I77" i="6" s="1"/>
  <c r="AE22" i="6"/>
  <c r="AE69" i="6" s="1"/>
  <c r="BG9" i="6"/>
  <c r="BG56" i="6" s="1"/>
  <c r="M42" i="6"/>
  <c r="M89" i="6" s="1"/>
  <c r="BU7" i="6"/>
  <c r="BU54" i="6" s="1"/>
  <c r="AE41" i="6"/>
  <c r="AE88" i="6" s="1"/>
  <c r="BN43" i="6"/>
  <c r="BN90" i="6" s="1"/>
  <c r="BU36" i="6"/>
  <c r="BU83" i="6" s="1"/>
  <c r="BN22" i="6"/>
  <c r="BN69" i="6" s="1"/>
  <c r="AA13" i="6"/>
  <c r="AA60" i="6" s="1"/>
  <c r="BQ27" i="6"/>
  <c r="BQ74" i="6" s="1"/>
  <c r="BJ9" i="6"/>
  <c r="BJ56" i="6" s="1"/>
  <c r="AA46" i="6"/>
  <c r="AA93" i="6" s="1"/>
  <c r="H68" i="6"/>
  <c r="H21" i="6"/>
  <c r="T74" i="6"/>
  <c r="T27" i="6"/>
  <c r="R10" i="6"/>
  <c r="R57" i="6" s="1"/>
  <c r="AJ42" i="6"/>
  <c r="AJ89" i="6" s="1"/>
  <c r="Q61" i="6"/>
  <c r="Q14" i="6"/>
  <c r="K61" i="6"/>
  <c r="K14" i="6"/>
  <c r="AA48" i="6"/>
  <c r="AA95" i="6" s="1"/>
  <c r="BQ17" i="6"/>
  <c r="BQ64" i="6" s="1"/>
  <c r="Q89" i="6"/>
  <c r="Q42" i="6"/>
  <c r="AE8" i="6"/>
  <c r="AE55" i="6" s="1"/>
  <c r="BT35" i="6"/>
  <c r="BT82" i="6" s="1"/>
  <c r="T26" i="6"/>
  <c r="T73" i="6" s="1"/>
  <c r="AA9" i="6"/>
  <c r="AA56" i="6" s="1"/>
  <c r="BE19" i="6"/>
  <c r="BE66" i="6" s="1"/>
  <c r="BH31" i="6"/>
  <c r="BH78" i="6" s="1"/>
  <c r="BS23" i="6"/>
  <c r="BS70" i="6" s="1"/>
  <c r="BK27" i="6"/>
  <c r="BK74" i="6" s="1"/>
  <c r="AA72" i="6"/>
  <c r="AA25" i="6"/>
  <c r="BV30" i="6"/>
  <c r="BV77" i="6" s="1"/>
  <c r="AI42" i="6"/>
  <c r="AI89" i="6" s="1"/>
  <c r="Y89" i="6"/>
  <c r="Y42" i="6"/>
  <c r="BQ29" i="6"/>
  <c r="BQ76" i="6" s="1"/>
  <c r="BE39" i="6"/>
  <c r="BE86" i="6" s="1"/>
  <c r="S84" i="6"/>
  <c r="S37" i="6"/>
  <c r="BH9" i="6"/>
  <c r="BH56" i="6" s="1"/>
  <c r="T72" i="6"/>
  <c r="T25" i="6"/>
  <c r="O80" i="6"/>
  <c r="O33" i="6"/>
  <c r="X49" i="6"/>
  <c r="X96" i="6"/>
  <c r="AF19" i="6"/>
  <c r="AF66" i="6" s="1"/>
  <c r="BG26" i="6"/>
  <c r="BG73" i="6" s="1"/>
  <c r="BE25" i="6"/>
  <c r="BE72" i="6" s="1"/>
  <c r="BM9" i="6"/>
  <c r="BM56" i="6" s="1"/>
  <c r="BR39" i="6"/>
  <c r="BR86" i="6" s="1"/>
  <c r="Q20" i="6"/>
  <c r="Q67" i="6"/>
  <c r="BE28" i="6"/>
  <c r="BE75" i="6" s="1"/>
  <c r="AE42" i="6"/>
  <c r="AE89" i="6" s="1"/>
  <c r="N14" i="6"/>
  <c r="N61" i="6" s="1"/>
  <c r="AI33" i="6"/>
  <c r="AI80" i="6" s="1"/>
  <c r="BK10" i="6"/>
  <c r="BK57" i="6" s="1"/>
  <c r="K11" i="6"/>
  <c r="K58" i="6"/>
  <c r="BJ21" i="6"/>
  <c r="BJ68" i="6" s="1"/>
  <c r="AD19" i="6"/>
  <c r="AD66" i="6" s="1"/>
  <c r="M73" i="6"/>
  <c r="M26" i="6"/>
  <c r="AI48" i="6"/>
  <c r="AI95" i="6" s="1"/>
  <c r="AF7" i="6"/>
  <c r="AF54" i="6" s="1"/>
  <c r="BM40" i="6"/>
  <c r="BM87" i="6" s="1"/>
  <c r="BN34" i="6"/>
  <c r="BN81" i="6" s="1"/>
  <c r="BW22" i="6"/>
  <c r="BW69" i="6" s="1"/>
  <c r="BQ22" i="6"/>
  <c r="BQ69" i="6" s="1"/>
  <c r="BG10" i="6"/>
  <c r="BG57" i="6" s="1"/>
  <c r="T65" i="6"/>
  <c r="T18" i="6"/>
  <c r="AL87" i="6"/>
  <c r="O89" i="6"/>
  <c r="O42" i="6"/>
  <c r="AJ41" i="6"/>
  <c r="AJ88" i="6" s="1"/>
  <c r="R67" i="6"/>
  <c r="R20" i="6"/>
  <c r="Q21" i="6"/>
  <c r="Q68" i="6" s="1"/>
  <c r="BP23" i="6"/>
  <c r="BP70" i="6" s="1"/>
  <c r="M8" i="6"/>
  <c r="M55" i="6"/>
  <c r="G7" i="6"/>
  <c r="G54" i="6" s="1"/>
  <c r="BG43" i="6"/>
  <c r="BG90" i="6" s="1"/>
  <c r="BO36" i="6"/>
  <c r="BO83" i="6" s="1"/>
  <c r="I34" i="6"/>
  <c r="I81" i="6" s="1"/>
  <c r="L23" i="6"/>
  <c r="L70" i="6" s="1"/>
  <c r="AH14" i="6"/>
  <c r="AH61" i="6" s="1"/>
  <c r="S96" i="6"/>
  <c r="S49" i="6"/>
  <c r="P46" i="6"/>
  <c r="P93" i="6"/>
  <c r="O13" i="6"/>
  <c r="O60" i="6" s="1"/>
  <c r="BE12" i="6"/>
  <c r="BE59" i="6" s="1"/>
  <c r="AI35" i="6"/>
  <c r="AI82" i="6" s="1"/>
  <c r="AF95" i="6"/>
  <c r="AF48" i="6"/>
  <c r="V47" i="6"/>
  <c r="V94" i="6"/>
  <c r="AG29" i="6"/>
  <c r="AG76" i="6" s="1"/>
  <c r="BG39" i="6"/>
  <c r="BG86" i="6" s="1"/>
  <c r="AF39" i="6"/>
  <c r="AF86" i="6" s="1"/>
  <c r="I28" i="6"/>
  <c r="I75" i="6"/>
  <c r="BQ40" i="6"/>
  <c r="BQ87" i="6" s="1"/>
  <c r="K27" i="6"/>
  <c r="K74" i="6" s="1"/>
  <c r="T33" i="6"/>
  <c r="T80" i="6" s="1"/>
  <c r="AI37" i="6"/>
  <c r="AI84" i="6" s="1"/>
  <c r="Y20" i="6"/>
  <c r="Y67" i="6" s="1"/>
  <c r="AJ26" i="6"/>
  <c r="AJ73" i="6" s="1"/>
  <c r="BH33" i="6"/>
  <c r="BH80" i="6" s="1"/>
  <c r="R22" i="6"/>
  <c r="R69" i="6"/>
  <c r="M60" i="6"/>
  <c r="M13" i="6"/>
  <c r="BE38" i="6"/>
  <c r="BE85" i="6" s="1"/>
  <c r="J82" i="6"/>
  <c r="J35" i="6"/>
  <c r="O41" i="6"/>
  <c r="O88" i="6"/>
  <c r="BJ43" i="6"/>
  <c r="BJ90" i="6" s="1"/>
  <c r="N16" i="6"/>
  <c r="N63" i="6"/>
  <c r="BQ8" i="6"/>
  <c r="BQ55" i="6" s="1"/>
  <c r="BO6" i="6"/>
  <c r="BO53" i="6" s="1"/>
  <c r="BW26" i="6"/>
  <c r="BW73" i="6" s="1"/>
  <c r="BJ37" i="6"/>
  <c r="BJ84" i="6" s="1"/>
  <c r="I64" i="6"/>
  <c r="I17" i="6"/>
  <c r="BS41" i="6"/>
  <c r="BS88" i="6" s="1"/>
  <c r="BH20" i="6"/>
  <c r="BH67" i="6" s="1"/>
  <c r="BF34" i="6"/>
  <c r="BF81" i="6" s="1"/>
  <c r="BE41" i="6"/>
  <c r="BE88" i="6" s="1"/>
  <c r="BQ42" i="6"/>
  <c r="BQ89" i="6" s="1"/>
  <c r="S80" i="6"/>
  <c r="S33" i="6"/>
  <c r="BU40" i="6"/>
  <c r="BU87" i="6" s="1"/>
  <c r="S94" i="6"/>
  <c r="S47" i="6"/>
  <c r="BM19" i="6"/>
  <c r="BM66" i="6" s="1"/>
  <c r="K40" i="6"/>
  <c r="K87" i="6" s="1"/>
  <c r="I22" i="6"/>
  <c r="I69" i="6"/>
  <c r="BN31" i="6"/>
  <c r="BN78" i="6" s="1"/>
  <c r="P10" i="6"/>
  <c r="P57" i="6"/>
  <c r="BF20" i="6"/>
  <c r="BF67" i="6" s="1"/>
  <c r="W41" i="6"/>
  <c r="W88" i="6" s="1"/>
  <c r="G66" i="6"/>
  <c r="G19" i="6"/>
  <c r="BO25" i="6"/>
  <c r="BO72" i="6" s="1"/>
  <c r="M54" i="6"/>
  <c r="M7" i="6"/>
  <c r="I36" i="6"/>
  <c r="I83" i="6"/>
  <c r="BN16" i="6"/>
  <c r="BN63" i="6" s="1"/>
  <c r="Q30" i="6"/>
  <c r="Q77" i="6"/>
  <c r="AC39" i="6"/>
  <c r="AC86" i="6" s="1"/>
  <c r="O9" i="6"/>
  <c r="O56" i="6" s="1"/>
  <c r="BP29" i="6"/>
  <c r="BP76" i="6" s="1"/>
  <c r="BS39" i="6"/>
  <c r="BS86" i="6" s="1"/>
  <c r="BL32" i="6"/>
  <c r="BL79" i="6" s="1"/>
  <c r="BO35" i="6"/>
  <c r="BO82" i="6" s="1"/>
  <c r="N34" i="6"/>
  <c r="N81" i="6" s="1"/>
  <c r="H78" i="6"/>
  <c r="H31" i="6"/>
  <c r="BQ28" i="6"/>
  <c r="BQ75" i="6" s="1"/>
  <c r="BW12" i="6"/>
  <c r="BW59" i="6" s="1"/>
  <c r="Z41" i="6"/>
  <c r="Z88" i="6" s="1"/>
  <c r="BL7" i="6"/>
  <c r="BL54" i="6" s="1"/>
  <c r="F68" i="6"/>
  <c r="F21" i="6"/>
  <c r="BG31" i="6"/>
  <c r="BG78" i="6" s="1"/>
  <c r="BM35" i="6"/>
  <c r="BM82" i="6" s="1"/>
  <c r="BR30" i="6"/>
  <c r="BR77" i="6" s="1"/>
  <c r="T95" i="6"/>
  <c r="T48" i="6"/>
  <c r="S26" i="6"/>
  <c r="S73" i="6" s="1"/>
  <c r="BU31" i="6"/>
  <c r="BU78" i="6" s="1"/>
  <c r="BO16" i="6"/>
  <c r="BO63" i="6" s="1"/>
  <c r="BR40" i="6"/>
  <c r="BR87" i="6" s="1"/>
  <c r="BT28" i="6"/>
  <c r="BT75" i="6" s="1"/>
  <c r="BO7" i="6"/>
  <c r="BO54" i="6" s="1"/>
  <c r="BS42" i="6"/>
  <c r="BS89" i="6" s="1"/>
  <c r="BV39" i="6"/>
  <c r="BV86" i="6" s="1"/>
  <c r="T7" i="6"/>
  <c r="T54" i="6" s="1"/>
  <c r="BW34" i="6"/>
  <c r="BW81" i="6" s="1"/>
  <c r="F59" i="6"/>
  <c r="F12" i="6"/>
  <c r="BN10" i="6"/>
  <c r="BN57" i="6" s="1"/>
  <c r="F29" i="6"/>
  <c r="F76" i="6" s="1"/>
  <c r="AI36" i="6"/>
  <c r="AI83" i="6" s="1"/>
  <c r="BQ12" i="6"/>
  <c r="BQ59" i="6" s="1"/>
  <c r="BT11" i="6"/>
  <c r="BT58" i="6" s="1"/>
  <c r="BR24" i="6"/>
  <c r="BR71" i="6" s="1"/>
  <c r="BJ42" i="6"/>
  <c r="BJ89" i="6" s="1"/>
  <c r="BO8" i="6"/>
  <c r="BO55" i="6" s="1"/>
  <c r="BQ25" i="6"/>
  <c r="BQ72" i="6" s="1"/>
  <c r="N47" i="6"/>
  <c r="N94" i="6" s="1"/>
  <c r="BW36" i="6"/>
  <c r="BW83" i="6" s="1"/>
  <c r="BM23" i="6"/>
  <c r="BM70" i="6" s="1"/>
  <c r="Q47" i="6"/>
  <c r="Q94" i="6"/>
  <c r="BT20" i="6"/>
  <c r="BT67" i="6" s="1"/>
  <c r="BU37" i="6"/>
  <c r="BU84" i="6" s="1"/>
  <c r="BP22" i="6"/>
  <c r="BP69" i="6" s="1"/>
  <c r="R45" i="6"/>
  <c r="R92" i="6" s="1"/>
  <c r="Y23" i="6"/>
  <c r="Y70" i="6" s="1"/>
  <c r="G10" i="6"/>
  <c r="G57" i="6" s="1"/>
  <c r="K29" i="6"/>
  <c r="K76" i="6"/>
  <c r="BM15" i="6"/>
  <c r="BM62" i="6" s="1"/>
  <c r="BM36" i="6"/>
  <c r="BM83" i="6" s="1"/>
  <c r="BF41" i="6"/>
  <c r="BF88" i="6" s="1"/>
  <c r="G9" i="6"/>
  <c r="G56" i="6" s="1"/>
  <c r="BR19" i="6"/>
  <c r="BR66" i="6" s="1"/>
  <c r="BN19" i="6"/>
  <c r="BN66" i="6" s="1"/>
  <c r="BM30" i="6"/>
  <c r="BM77" i="6" s="1"/>
  <c r="BF40" i="6"/>
  <c r="BF87" i="6" s="1"/>
  <c r="BV42" i="6"/>
  <c r="BV89" i="6" s="1"/>
  <c r="F32" i="6"/>
  <c r="F79" i="6" s="1"/>
  <c r="N30" i="6"/>
  <c r="N77" i="6" s="1"/>
  <c r="BV13" i="6"/>
  <c r="BV60" i="6" s="1"/>
  <c r="S69" i="6"/>
  <c r="S22" i="6"/>
  <c r="R48" i="6"/>
  <c r="R95" i="6" s="1"/>
  <c r="J75" i="6"/>
  <c r="J28" i="6"/>
  <c r="BF8" i="6"/>
  <c r="BF55" i="6" s="1"/>
  <c r="BN14" i="6"/>
  <c r="BN61" i="6" s="1"/>
  <c r="BU32" i="6"/>
  <c r="BU79" i="6" s="1"/>
  <c r="M41" i="6"/>
  <c r="M88" i="6" s="1"/>
  <c r="BW10" i="6"/>
  <c r="BW57" i="6" s="1"/>
  <c r="I48" i="6"/>
  <c r="I95" i="6" s="1"/>
  <c r="BE9" i="6"/>
  <c r="BE56" i="6" s="1"/>
  <c r="BK20" i="6"/>
  <c r="BK67" i="6" s="1"/>
  <c r="BP11" i="6"/>
  <c r="BP58" i="6" s="1"/>
  <c r="O36" i="6"/>
  <c r="O83" i="6" s="1"/>
  <c r="J7" i="6"/>
  <c r="J54" i="6" s="1"/>
  <c r="BK37" i="6"/>
  <c r="BK84" i="6" s="1"/>
  <c r="BN38" i="6"/>
  <c r="BN85" i="6" s="1"/>
  <c r="BO23" i="6"/>
  <c r="BO70" i="6" s="1"/>
  <c r="BG13" i="6"/>
  <c r="BG60" i="6" s="1"/>
  <c r="J16" i="6"/>
  <c r="J63" i="6" s="1"/>
  <c r="BS22" i="6"/>
  <c r="BS69" i="6" s="1"/>
  <c r="F26" i="6"/>
  <c r="F73" i="6" s="1"/>
  <c r="BL15" i="6"/>
  <c r="BL62" i="6" s="1"/>
  <c r="BV6" i="6"/>
  <c r="BV53" i="6" s="1"/>
  <c r="BK15" i="6"/>
  <c r="BK62" i="6" s="1"/>
  <c r="BO15" i="6"/>
  <c r="BO62" i="6" s="1"/>
  <c r="N49" i="6"/>
  <c r="N96" i="6" s="1"/>
  <c r="Y25" i="6"/>
  <c r="Y72" i="6" s="1"/>
  <c r="BV19" i="6"/>
  <c r="BV66" i="6" s="1"/>
  <c r="BV26" i="6"/>
  <c r="BV73" i="6" s="1"/>
  <c r="BJ40" i="6"/>
  <c r="BJ87" i="6" s="1"/>
  <c r="BW32" i="6"/>
  <c r="BW79" i="6" s="1"/>
  <c r="H92" i="6"/>
  <c r="H45" i="6"/>
  <c r="BG38" i="6"/>
  <c r="BG85" i="6" s="1"/>
  <c r="AI43" i="6"/>
  <c r="AI90" i="6" s="1"/>
  <c r="BF14" i="6"/>
  <c r="BF61" i="6" s="1"/>
  <c r="M64" i="6"/>
  <c r="M17" i="6"/>
  <c r="AC20" i="6"/>
  <c r="AC67" i="6" s="1"/>
  <c r="T20" i="6"/>
  <c r="T67" i="6" s="1"/>
  <c r="BP41" i="6"/>
  <c r="BP88" i="6" s="1"/>
  <c r="J71" i="6"/>
  <c r="J24" i="6"/>
  <c r="BN8" i="6"/>
  <c r="BN55" i="6" s="1"/>
  <c r="T49" i="6"/>
  <c r="T96" i="6" s="1"/>
  <c r="J8" i="6"/>
  <c r="J55" i="6" s="1"/>
  <c r="M49" i="6"/>
  <c r="M96" i="6" s="1"/>
  <c r="BN29" i="6"/>
  <c r="BN76" i="6" s="1"/>
  <c r="BT33" i="6"/>
  <c r="BT80" i="6" s="1"/>
  <c r="BT30" i="6"/>
  <c r="BT77" i="6" s="1"/>
  <c r="BJ41" i="6"/>
  <c r="BJ88" i="6" s="1"/>
  <c r="I86" i="6"/>
  <c r="I39" i="6"/>
  <c r="BT25" i="6"/>
  <c r="BT72" i="6" s="1"/>
  <c r="AH45" i="6"/>
  <c r="AH92" i="6" s="1"/>
  <c r="J94" i="6"/>
  <c r="J47" i="6"/>
  <c r="AC13" i="6"/>
  <c r="AC60" i="6" s="1"/>
  <c r="R28" i="6"/>
  <c r="R75" i="6" s="1"/>
  <c r="BS30" i="6"/>
  <c r="BS77" i="6" s="1"/>
  <c r="BP32" i="6"/>
  <c r="BP79" i="6" s="1"/>
  <c r="BR12" i="6"/>
  <c r="BR59" i="6" s="1"/>
  <c r="BF33" i="6"/>
  <c r="BF80" i="6" s="1"/>
  <c r="BF42" i="6"/>
  <c r="BF89" i="6" s="1"/>
  <c r="BU12" i="6"/>
  <c r="BU59" i="6" s="1"/>
  <c r="BR43" i="6"/>
  <c r="BR90" i="6" s="1"/>
  <c r="T45" i="6"/>
  <c r="T92" i="6" s="1"/>
  <c r="I32" i="6"/>
  <c r="I79" i="6" s="1"/>
  <c r="BT27" i="6"/>
  <c r="BT74" i="6" s="1"/>
  <c r="AG9" i="6"/>
  <c r="AG56" i="6" s="1"/>
  <c r="Q27" i="6"/>
  <c r="Q74" i="6" s="1"/>
  <c r="BG16" i="6"/>
  <c r="BG63" i="6" s="1"/>
  <c r="BS6" i="6"/>
  <c r="BS53" i="6" s="1"/>
  <c r="BL19" i="6"/>
  <c r="BL66" i="6" s="1"/>
  <c r="BQ39" i="6"/>
  <c r="BQ86" i="6" s="1"/>
  <c r="BE37" i="6"/>
  <c r="BE84" i="6" s="1"/>
  <c r="BK8" i="6"/>
  <c r="BK55" i="6" s="1"/>
  <c r="BK42" i="6"/>
  <c r="BK89" i="6" s="1"/>
  <c r="J26" i="6"/>
  <c r="J73" i="6" s="1"/>
  <c r="G92" i="6"/>
  <c r="G45" i="6"/>
  <c r="M63" i="6"/>
  <c r="M16" i="6"/>
  <c r="I46" i="6"/>
  <c r="I93" i="6" s="1"/>
  <c r="G83" i="6"/>
  <c r="G36" i="6"/>
  <c r="M36" i="6"/>
  <c r="M83" i="6" s="1"/>
  <c r="BH25" i="6"/>
  <c r="BH72" i="6" s="1"/>
  <c r="BK23" i="6"/>
  <c r="BK70" i="6" s="1"/>
  <c r="BJ24" i="6"/>
  <c r="BJ71" i="6" s="1"/>
  <c r="BJ31" i="6"/>
  <c r="BJ78" i="6" s="1"/>
  <c r="BF12" i="6"/>
  <c r="BF59" i="6" s="1"/>
  <c r="BT18" i="6"/>
  <c r="BT65" i="6" s="1"/>
  <c r="BV12" i="6"/>
  <c r="BV59" i="6" s="1"/>
  <c r="Q23" i="6"/>
  <c r="Q70" i="6" s="1"/>
  <c r="X19" i="6"/>
  <c r="X66" i="6" s="1"/>
  <c r="AC93" i="6"/>
  <c r="AC46" i="6"/>
  <c r="I19" i="6"/>
  <c r="I66" i="6" s="1"/>
  <c r="G89" i="6"/>
  <c r="G42" i="6"/>
  <c r="G78" i="6"/>
  <c r="G31" i="6"/>
  <c r="G15" i="6"/>
  <c r="G62" i="6" s="1"/>
  <c r="BQ20" i="6"/>
  <c r="BQ67" i="6" s="1"/>
  <c r="K92" i="6"/>
  <c r="K45" i="6"/>
  <c r="BS37" i="6"/>
  <c r="BS84" i="6" s="1"/>
  <c r="BS35" i="6"/>
  <c r="BS82" i="6" s="1"/>
  <c r="W86" i="6"/>
  <c r="W39" i="6"/>
  <c r="BU42" i="6"/>
  <c r="BU89" i="6" s="1"/>
  <c r="BH38" i="6"/>
  <c r="BH85" i="6" s="1"/>
  <c r="AG41" i="6"/>
  <c r="AG88" i="6" s="1"/>
  <c r="BF30" i="6"/>
  <c r="BF77" i="6" s="1"/>
  <c r="BE16" i="6"/>
  <c r="BE63" i="6" s="1"/>
  <c r="V46" i="6"/>
  <c r="V93" i="6"/>
  <c r="BV34" i="6"/>
  <c r="BV81" i="6" s="1"/>
  <c r="K16" i="6"/>
  <c r="K63" i="6"/>
  <c r="W45" i="6"/>
  <c r="W92" i="6" s="1"/>
  <c r="BL27" i="6"/>
  <c r="BL74" i="6" s="1"/>
  <c r="M14" i="6"/>
  <c r="M61" i="6" s="1"/>
  <c r="BN26" i="6"/>
  <c r="BN73" i="6" s="1"/>
  <c r="BE14" i="6"/>
  <c r="BE61" i="6" s="1"/>
  <c r="BU13" i="6"/>
  <c r="BU60" i="6" s="1"/>
  <c r="BG11" i="6"/>
  <c r="BG58" i="6" s="1"/>
  <c r="Y7" i="6"/>
  <c r="Y54" i="6" s="1"/>
  <c r="I47" i="6"/>
  <c r="I94" i="6" s="1"/>
  <c r="BO17" i="6"/>
  <c r="BO64" i="6" s="1"/>
  <c r="F33" i="6"/>
  <c r="F80" i="6" s="1"/>
  <c r="BU14" i="6"/>
  <c r="BU61" i="6" s="1"/>
  <c r="Q10" i="6"/>
  <c r="Q57" i="6"/>
  <c r="H38" i="6"/>
  <c r="H85" i="6" s="1"/>
  <c r="P31" i="6"/>
  <c r="P78" i="6" s="1"/>
  <c r="P6" i="6"/>
  <c r="P53" i="6" s="1"/>
  <c r="BE43" i="6"/>
  <c r="BE90" i="6" s="1"/>
  <c r="L12" i="6"/>
  <c r="L59" i="6" s="1"/>
  <c r="AF29" i="6"/>
  <c r="AF76" i="6" s="1"/>
  <c r="BK25" i="6"/>
  <c r="BK72" i="6" s="1"/>
  <c r="BN37" i="6"/>
  <c r="BN84" i="6" s="1"/>
  <c r="BR38" i="6"/>
  <c r="BR85" i="6" s="1"/>
  <c r="T86" i="6"/>
  <c r="T39" i="6"/>
  <c r="V13" i="6"/>
  <c r="V60" i="6" s="1"/>
  <c r="BK6" i="6"/>
  <c r="BK53" i="6" s="1"/>
  <c r="BU38" i="6"/>
  <c r="BU85" i="6" s="1"/>
  <c r="P41" i="6"/>
  <c r="P88" i="6" s="1"/>
  <c r="I15" i="6"/>
  <c r="I62" i="6"/>
  <c r="BH13" i="6"/>
  <c r="BH60" i="6" s="1"/>
  <c r="BT6" i="6"/>
  <c r="BT53" i="6" s="1"/>
  <c r="BF35" i="6"/>
  <c r="BF82" i="6" s="1"/>
  <c r="BK36" i="6"/>
  <c r="BK83" i="6" s="1"/>
  <c r="BP36" i="6"/>
  <c r="BP83" i="6" s="1"/>
  <c r="BH35" i="6"/>
  <c r="BH82" i="6" s="1"/>
  <c r="BM22" i="6"/>
  <c r="BM69" i="6" s="1"/>
  <c r="AD17" i="6"/>
  <c r="AD64" i="6" s="1"/>
  <c r="BR23" i="6"/>
  <c r="BR70" i="6" s="1"/>
  <c r="BV7" i="6"/>
  <c r="BV54" i="6" s="1"/>
  <c r="AJ47" i="6"/>
  <c r="AJ94" i="6" s="1"/>
  <c r="F35" i="6"/>
  <c r="F82" i="6"/>
  <c r="L19" i="6"/>
  <c r="L66" i="6" s="1"/>
  <c r="BL30" i="6"/>
  <c r="BL77" i="6" s="1"/>
  <c r="L9" i="6"/>
  <c r="L56" i="6" s="1"/>
  <c r="BV20" i="6"/>
  <c r="BV67" i="6" s="1"/>
  <c r="T16" i="6"/>
  <c r="T63" i="6" s="1"/>
  <c r="R70" i="6"/>
  <c r="R23" i="6"/>
  <c r="BU6" i="6"/>
  <c r="BU53" i="6" s="1"/>
  <c r="BH12" i="6"/>
  <c r="BH59" i="6" s="1"/>
  <c r="BS27" i="6"/>
  <c r="BS74" i="6" s="1"/>
  <c r="I12" i="6"/>
  <c r="I59" i="6" s="1"/>
  <c r="T83" i="6"/>
  <c r="T36" i="6"/>
  <c r="BM42" i="6"/>
  <c r="BM89" i="6" s="1"/>
  <c r="BV31" i="6"/>
  <c r="BV78" i="6" s="1"/>
  <c r="BM41" i="6"/>
  <c r="BM88" i="6" s="1"/>
  <c r="BV23" i="6"/>
  <c r="BV70" i="6" s="1"/>
  <c r="Z24" i="6"/>
  <c r="Z71" i="6" s="1"/>
  <c r="AD37" i="6"/>
  <c r="AD84" i="6" s="1"/>
  <c r="H30" i="6"/>
  <c r="H77" i="6" s="1"/>
  <c r="BH23" i="6"/>
  <c r="BH70" i="6" s="1"/>
  <c r="K24" i="6"/>
  <c r="K71" i="6" s="1"/>
  <c r="AD34" i="6"/>
  <c r="AD81" i="6" s="1"/>
  <c r="S45" i="6"/>
  <c r="S92" i="6" s="1"/>
  <c r="BG42" i="6"/>
  <c r="BG89" i="6" s="1"/>
  <c r="K33" i="6"/>
  <c r="K80" i="6" s="1"/>
  <c r="F43" i="6"/>
  <c r="F90" i="6" s="1"/>
  <c r="BN30" i="6"/>
  <c r="BN77" i="6" s="1"/>
  <c r="L58" i="6"/>
  <c r="L11" i="6"/>
  <c r="BH6" i="6"/>
  <c r="BH53" i="6" s="1"/>
  <c r="K18" i="6"/>
  <c r="K65" i="6" s="1"/>
  <c r="BO31" i="6"/>
  <c r="BO78" i="6" s="1"/>
  <c r="O12" i="6"/>
  <c r="O59" i="6" s="1"/>
  <c r="BO28" i="6"/>
  <c r="BO75" i="6" s="1"/>
  <c r="AI39" i="6"/>
  <c r="AI86" i="6" s="1"/>
  <c r="P42" i="6"/>
  <c r="P89" i="6"/>
  <c r="BM34" i="6"/>
  <c r="BM81" i="6" s="1"/>
  <c r="M35" i="6"/>
  <c r="M82" i="6" s="1"/>
  <c r="BV21" i="6"/>
  <c r="BV68" i="6" s="1"/>
  <c r="AI29" i="6"/>
  <c r="AI76" i="6" s="1"/>
  <c r="BH39" i="6"/>
  <c r="BH86" i="6" s="1"/>
  <c r="BO37" i="6"/>
  <c r="BO84" i="6" s="1"/>
  <c r="F20" i="6"/>
  <c r="F67" i="6" s="1"/>
  <c r="N48" i="6"/>
  <c r="N95" i="6" s="1"/>
  <c r="AB35" i="6"/>
  <c r="AB82" i="6" s="1"/>
  <c r="R31" i="6"/>
  <c r="R78" i="6"/>
  <c r="BU34" i="6"/>
  <c r="BU81" i="6" s="1"/>
  <c r="N28" i="6"/>
  <c r="N75" i="6" s="1"/>
  <c r="BT24" i="6"/>
  <c r="BT71" i="6" s="1"/>
  <c r="AB32" i="6"/>
  <c r="AB79" i="6" s="1"/>
  <c r="BL9" i="6"/>
  <c r="BL56" i="6" s="1"/>
  <c r="BO34" i="6"/>
  <c r="BO81" i="6" s="1"/>
  <c r="O45" i="6"/>
  <c r="O92" i="6" s="1"/>
  <c r="BJ19" i="6"/>
  <c r="BJ66" i="6" s="1"/>
  <c r="BE35" i="6"/>
  <c r="BE82" i="6" s="1"/>
  <c r="BR8" i="6"/>
  <c r="BR55" i="6" s="1"/>
  <c r="BR36" i="6"/>
  <c r="BR83" i="6" s="1"/>
  <c r="L34" i="6"/>
  <c r="L81" i="6" s="1"/>
  <c r="BG33" i="6"/>
  <c r="BG80" i="6" s="1"/>
  <c r="P23" i="6"/>
  <c r="P70" i="6" s="1"/>
  <c r="K19" i="6"/>
  <c r="K66" i="6" s="1"/>
  <c r="BP34" i="6"/>
  <c r="BP81" i="6" s="1"/>
  <c r="S34" i="6"/>
  <c r="S81" i="6" s="1"/>
  <c r="O16" i="6"/>
  <c r="O63" i="6" s="1"/>
  <c r="H8" i="6"/>
  <c r="H55" i="6" s="1"/>
  <c r="BU25" i="6"/>
  <c r="BU72" i="6" s="1"/>
  <c r="BK29" i="6"/>
  <c r="BK76" i="6" s="1"/>
  <c r="BL29" i="6"/>
  <c r="BL76" i="6" s="1"/>
  <c r="AC32" i="6"/>
  <c r="AC79" i="6" s="1"/>
  <c r="BG7" i="6"/>
  <c r="BG54" i="6" s="1"/>
  <c r="BH21" i="6"/>
  <c r="BH68" i="6" s="1"/>
  <c r="BV24" i="6"/>
  <c r="BV71" i="6" s="1"/>
  <c r="AL79" i="6"/>
  <c r="BE18" i="6"/>
  <c r="BE65" i="6" s="1"/>
  <c r="BN15" i="6"/>
  <c r="BN62" i="6" s="1"/>
  <c r="S21" i="6"/>
  <c r="S68" i="6" s="1"/>
  <c r="L60" i="6"/>
  <c r="L13" i="6"/>
  <c r="N17" i="6"/>
  <c r="N64" i="6" s="1"/>
  <c r="BJ12" i="6"/>
  <c r="BJ59" i="6" s="1"/>
  <c r="BF27" i="6"/>
  <c r="BF74" i="6" s="1"/>
  <c r="G37" i="6"/>
  <c r="G84" i="6" s="1"/>
  <c r="I56" i="6"/>
  <c r="I9" i="6"/>
  <c r="AC48" i="6"/>
  <c r="AC95" i="6" s="1"/>
  <c r="BS11" i="6"/>
  <c r="BS58" i="6" s="1"/>
  <c r="J59" i="6"/>
  <c r="J12" i="6"/>
  <c r="BG15" i="6"/>
  <c r="BG62" i="6" s="1"/>
  <c r="I67" i="6"/>
  <c r="I20" i="6"/>
  <c r="BK24" i="6"/>
  <c r="BK71" i="6" s="1"/>
  <c r="BS18" i="6"/>
  <c r="BS65" i="6" s="1"/>
  <c r="BW17" i="6"/>
  <c r="BW64" i="6" s="1"/>
  <c r="AI13" i="6"/>
  <c r="AI60" i="6" s="1"/>
  <c r="K83" i="6"/>
  <c r="K36" i="6"/>
  <c r="AJ23" i="6"/>
  <c r="AJ70" i="6" s="1"/>
  <c r="AG96" i="6"/>
  <c r="AG49" i="6"/>
  <c r="O66" i="6"/>
  <c r="O19" i="6"/>
  <c r="BP31" i="6"/>
  <c r="BP78" i="6" s="1"/>
  <c r="AE14" i="6"/>
  <c r="AE61" i="6" s="1"/>
  <c r="BG35" i="6"/>
  <c r="BG82" i="6" s="1"/>
  <c r="BQ14" i="6"/>
  <c r="BQ61" i="6" s="1"/>
  <c r="G25" i="6"/>
  <c r="G72" i="6" s="1"/>
  <c r="BJ11" i="6"/>
  <c r="BJ58" i="6" s="1"/>
  <c r="BH14" i="6"/>
  <c r="BH61" i="6" s="1"/>
  <c r="BV9" i="6"/>
  <c r="BV56" i="6" s="1"/>
  <c r="AA6" i="6"/>
  <c r="U7" i="35" s="1"/>
  <c r="V7" i="35" s="1"/>
  <c r="X32" i="6"/>
  <c r="X79" i="6" s="1"/>
  <c r="BR6" i="6"/>
  <c r="BR53" i="6" s="1"/>
  <c r="AF49" i="6"/>
  <c r="AF96" i="6"/>
  <c r="BN24" i="6"/>
  <c r="BN71" i="6" s="1"/>
  <c r="G95" i="6"/>
  <c r="G48" i="6"/>
  <c r="BN11" i="6"/>
  <c r="BN58" i="6" s="1"/>
  <c r="BF9" i="6"/>
  <c r="BF56" i="6" s="1"/>
  <c r="L25" i="6"/>
  <c r="L72" i="6" s="1"/>
  <c r="BO38" i="6"/>
  <c r="BO85" i="6" s="1"/>
  <c r="N39" i="6"/>
  <c r="N86" i="6" s="1"/>
  <c r="BG20" i="6"/>
  <c r="BG67" i="6" s="1"/>
  <c r="BL34" i="6"/>
  <c r="BL81" i="6" s="1"/>
  <c r="P15" i="6"/>
  <c r="P62" i="6" s="1"/>
  <c r="BO27" i="6"/>
  <c r="BO74" i="6" s="1"/>
  <c r="N11" i="6"/>
  <c r="N58" i="6" s="1"/>
  <c r="S24" i="6"/>
  <c r="S71" i="6" s="1"/>
  <c r="V11" i="6"/>
  <c r="V58" i="6" s="1"/>
  <c r="BH43" i="6"/>
  <c r="BH90" i="6" s="1"/>
  <c r="H46" i="6"/>
  <c r="H93" i="6" s="1"/>
  <c r="L92" i="6"/>
  <c r="L45" i="6"/>
  <c r="BH16" i="6"/>
  <c r="BH63" i="6" s="1"/>
  <c r="BL35" i="6"/>
  <c r="BL82" i="6" s="1"/>
  <c r="H36" i="6"/>
  <c r="H83" i="6" s="1"/>
  <c r="P20" i="6"/>
  <c r="P67" i="6" s="1"/>
  <c r="P22" i="6"/>
  <c r="P69" i="6" s="1"/>
  <c r="I89" i="6"/>
  <c r="I42" i="6"/>
  <c r="F44" i="6"/>
  <c r="P14" i="6"/>
  <c r="P61" i="6" s="1"/>
  <c r="BW29" i="6"/>
  <c r="BW76" i="6" s="1"/>
  <c r="BS7" i="6"/>
  <c r="BS54" i="6" s="1"/>
  <c r="BM11" i="6"/>
  <c r="BM58" i="6" s="1"/>
  <c r="BL43" i="6"/>
  <c r="BL90" i="6" s="1"/>
  <c r="L86" i="6"/>
  <c r="L39" i="6"/>
  <c r="M31" i="6"/>
  <c r="M78" i="6" s="1"/>
  <c r="L73" i="6"/>
  <c r="L26" i="6"/>
  <c r="AI21" i="6"/>
  <c r="AI68" i="6" s="1"/>
  <c r="BJ17" i="6"/>
  <c r="BJ64" i="6" s="1"/>
  <c r="BH19" i="6"/>
  <c r="BH66" i="6" s="1"/>
  <c r="BL6" i="6"/>
  <c r="BL53" i="6" s="1"/>
  <c r="BR37" i="6"/>
  <c r="BR84" i="6" s="1"/>
  <c r="BF21" i="6"/>
  <c r="BF68" i="6" s="1"/>
  <c r="R36" i="6"/>
  <c r="R83" i="6"/>
  <c r="R56" i="6"/>
  <c r="R9" i="6"/>
  <c r="BL10" i="6"/>
  <c r="BL57" i="6" s="1"/>
  <c r="BG22" i="6"/>
  <c r="BG69" i="6" s="1"/>
  <c r="BV32" i="6"/>
  <c r="BV79" i="6" s="1"/>
  <c r="BU33" i="6"/>
  <c r="BU80" i="6" s="1"/>
  <c r="F47" i="6"/>
  <c r="F94" i="6"/>
  <c r="BV16" i="6"/>
  <c r="BV63" i="6" s="1"/>
  <c r="AF6" i="6"/>
  <c r="AF53" i="6" s="1"/>
  <c r="BH22" i="6"/>
  <c r="BH69" i="6" s="1"/>
  <c r="BV10" i="6"/>
  <c r="BV57" i="6" s="1"/>
  <c r="L8" i="6"/>
  <c r="L55" i="6" s="1"/>
  <c r="AC44" i="6"/>
  <c r="AC91" i="6" s="1"/>
  <c r="BU21" i="6"/>
  <c r="BU68" i="6" s="1"/>
  <c r="BQ35" i="6"/>
  <c r="BQ82" i="6" s="1"/>
  <c r="H48" i="6"/>
  <c r="H95" i="6"/>
  <c r="BV35" i="6"/>
  <c r="BV82" i="6" s="1"/>
  <c r="F25" i="6"/>
  <c r="F72" i="6" s="1"/>
  <c r="H43" i="6"/>
  <c r="H90" i="6"/>
  <c r="T35" i="6"/>
  <c r="T82" i="6"/>
  <c r="AJ39" i="6"/>
  <c r="AJ86" i="6" s="1"/>
  <c r="BV41" i="6"/>
  <c r="BV88" i="6" s="1"/>
  <c r="R85" i="6"/>
  <c r="R38" i="6"/>
  <c r="S61" i="6"/>
  <c r="S14" i="6"/>
  <c r="BJ8" i="6"/>
  <c r="BJ55" i="6" s="1"/>
  <c r="W28" i="6"/>
  <c r="W75" i="6" s="1"/>
  <c r="BP42" i="6"/>
  <c r="BP89" i="6" s="1"/>
  <c r="R35" i="6"/>
  <c r="R82" i="6" s="1"/>
  <c r="BF11" i="6"/>
  <c r="BF58" i="6" s="1"/>
  <c r="BH26" i="6"/>
  <c r="BH73" i="6" s="1"/>
  <c r="J74" i="6"/>
  <c r="J27" i="6"/>
  <c r="Y47" i="6"/>
  <c r="Y94" i="6" s="1"/>
  <c r="BR21" i="6"/>
  <c r="BR68" i="6" s="1"/>
  <c r="BG34" i="6"/>
  <c r="BG81" i="6" s="1"/>
  <c r="S8" i="6"/>
  <c r="S55" i="6" s="1"/>
  <c r="R79" i="6"/>
  <c r="R32" i="6"/>
  <c r="H32" i="6"/>
  <c r="H79" i="6" s="1"/>
  <c r="BS31" i="6"/>
  <c r="BS78" i="6" s="1"/>
  <c r="BL26" i="6"/>
  <c r="BL73" i="6" s="1"/>
  <c r="Q6" i="6"/>
  <c r="Q53" i="6" s="1"/>
  <c r="BQ24" i="6"/>
  <c r="BQ71" i="6" s="1"/>
  <c r="S40" i="6"/>
  <c r="S87" i="6" s="1"/>
  <c r="H69" i="6"/>
  <c r="H22" i="6"/>
  <c r="BV27" i="6"/>
  <c r="BV74" i="6" s="1"/>
  <c r="AB15" i="6"/>
  <c r="AB62" i="6" s="1"/>
  <c r="BE15" i="6"/>
  <c r="BE62" i="6" s="1"/>
  <c r="BT34" i="6"/>
  <c r="BT81" i="6" s="1"/>
  <c r="BV43" i="6"/>
  <c r="BV90" i="6" s="1"/>
  <c r="BT43" i="6"/>
  <c r="BT90" i="6" s="1"/>
  <c r="BV17" i="6"/>
  <c r="BV64" i="6" s="1"/>
  <c r="BK41" i="6"/>
  <c r="BK88" i="6" s="1"/>
  <c r="BK33" i="6"/>
  <c r="BK80" i="6" s="1"/>
  <c r="BR31" i="6"/>
  <c r="BR78" i="6" s="1"/>
  <c r="AC49" i="6"/>
  <c r="AC96" i="6" s="1"/>
  <c r="AD22" i="6"/>
  <c r="AD69" i="6" s="1"/>
  <c r="BV8" i="6"/>
  <c r="BV55" i="6" s="1"/>
  <c r="J80" i="6"/>
  <c r="J33" i="6"/>
  <c r="BK14" i="6"/>
  <c r="BK61" i="6" s="1"/>
  <c r="BM8" i="6"/>
  <c r="BM55" i="6" s="1"/>
  <c r="BR10" i="6"/>
  <c r="BR57" i="6" s="1"/>
  <c r="O54" i="6"/>
  <c r="O7" i="6"/>
  <c r="BL36" i="6"/>
  <c r="BL83" i="6" s="1"/>
  <c r="BS25" i="6"/>
  <c r="BS72" i="6" s="1"/>
  <c r="BH27" i="6"/>
  <c r="BH74" i="6" s="1"/>
  <c r="BQ18" i="6"/>
  <c r="BQ65" i="6" s="1"/>
  <c r="BS38" i="6"/>
  <c r="BS85" i="6" s="1"/>
  <c r="J49" i="6"/>
  <c r="J96" i="6" s="1"/>
  <c r="O73" i="6"/>
  <c r="O26" i="6"/>
  <c r="BK17" i="6"/>
  <c r="BK64" i="6" s="1"/>
  <c r="BT19" i="6"/>
  <c r="BT66" i="6" s="1"/>
  <c r="J14" i="6"/>
  <c r="J61" i="6" s="1"/>
  <c r="BT15" i="6"/>
  <c r="BT62" i="6" s="1"/>
  <c r="BE32" i="6"/>
  <c r="BE79" i="6" s="1"/>
  <c r="BE33" i="6"/>
  <c r="BE80" i="6" s="1"/>
  <c r="O10" i="6"/>
  <c r="O57" i="6" s="1"/>
  <c r="AE44" i="6"/>
  <c r="AE91" i="6" s="1"/>
  <c r="L94" i="6"/>
  <c r="L47" i="6"/>
  <c r="I33" i="6"/>
  <c r="I80" i="6" s="1"/>
  <c r="BN28" i="6"/>
  <c r="BN75" i="6" s="1"/>
  <c r="BR15" i="6"/>
  <c r="BR62" i="6" s="1"/>
  <c r="AJ78" i="6"/>
  <c r="AJ31" i="6"/>
  <c r="BM16" i="6"/>
  <c r="BM63" i="6" s="1"/>
  <c r="BJ35" i="6"/>
  <c r="BJ82" i="6" s="1"/>
  <c r="P13" i="6"/>
  <c r="P60" i="6" s="1"/>
  <c r="AJ8" i="6"/>
  <c r="AJ55" i="6" s="1"/>
  <c r="AH28" i="6"/>
  <c r="AH75" i="6" s="1"/>
  <c r="BT23" i="6"/>
  <c r="BT70" i="6" s="1"/>
  <c r="H17" i="6"/>
  <c r="H64" i="6" s="1"/>
  <c r="G90" i="6"/>
  <c r="G43" i="6"/>
  <c r="BR41" i="6"/>
  <c r="BR88" i="6" s="1"/>
  <c r="BJ18" i="6"/>
  <c r="BJ65" i="6" s="1"/>
  <c r="BN36" i="6"/>
  <c r="BN83" i="6" s="1"/>
  <c r="BJ32" i="6"/>
  <c r="BJ79" i="6" s="1"/>
  <c r="BP15" i="6"/>
  <c r="BP62" i="6" s="1"/>
  <c r="BU30" i="6"/>
  <c r="BU77" i="6" s="1"/>
  <c r="K35" i="6"/>
  <c r="K82" i="6" s="1"/>
  <c r="BM6" i="6"/>
  <c r="BM53" i="6" s="1"/>
  <c r="BN23" i="6"/>
  <c r="BN70" i="6" s="1"/>
  <c r="J6" i="6"/>
  <c r="J53" i="6" s="1"/>
  <c r="BK7" i="6"/>
  <c r="BK54" i="6" s="1"/>
  <c r="BE22" i="6"/>
  <c r="BE69" i="6" s="1"/>
  <c r="BO30" i="6"/>
  <c r="BO77" i="6" s="1"/>
  <c r="G75" i="6"/>
  <c r="G28" i="6"/>
  <c r="BP8" i="6"/>
  <c r="BP55" i="6" s="1"/>
  <c r="BO12" i="6"/>
  <c r="BO59" i="6" s="1"/>
  <c r="BX45" i="6"/>
  <c r="E45" i="6"/>
  <c r="E92" i="6"/>
  <c r="BT7" i="6"/>
  <c r="BT54" i="6" s="1"/>
  <c r="O32" i="6"/>
  <c r="O79" i="6" s="1"/>
  <c r="AJ44" i="6"/>
  <c r="AJ91" i="6" s="1"/>
  <c r="BF23" i="6"/>
  <c r="BF70" i="6" s="1"/>
  <c r="K26" i="6"/>
  <c r="K73" i="6" s="1"/>
  <c r="BQ34" i="6"/>
  <c r="BQ81" i="6" s="1"/>
  <c r="R53" i="6"/>
  <c r="R6" i="6"/>
  <c r="N74" i="6"/>
  <c r="N27" i="6"/>
  <c r="AH26" i="6"/>
  <c r="AH73" i="6" s="1"/>
  <c r="BF17" i="6"/>
  <c r="BF64" i="6" s="1"/>
  <c r="T60" i="6"/>
  <c r="T13" i="6"/>
  <c r="W36" i="6"/>
  <c r="W83" i="6" s="1"/>
  <c r="BJ38" i="6"/>
  <c r="BJ85" i="6" s="1"/>
  <c r="K70" i="6"/>
  <c r="K23" i="6"/>
  <c r="BU17" i="6"/>
  <c r="BU64" i="6" s="1"/>
  <c r="BK39" i="6"/>
  <c r="BK86" i="6" s="1"/>
  <c r="BL25" i="6"/>
  <c r="BL72" i="6" s="1"/>
  <c r="W44" i="6"/>
  <c r="W91" i="6" s="1"/>
  <c r="L46" i="6"/>
  <c r="L93" i="6" s="1"/>
  <c r="G40" i="6"/>
  <c r="G87" i="6" s="1"/>
  <c r="W30" i="6"/>
  <c r="W77" i="6"/>
  <c r="BP27" i="6"/>
  <c r="BP74" i="6" s="1"/>
  <c r="BE42" i="6"/>
  <c r="BE89" i="6" s="1"/>
  <c r="Z44" i="6"/>
  <c r="Z91" i="6" s="1"/>
  <c r="BR26" i="6"/>
  <c r="BR73" i="6" s="1"/>
  <c r="Q44" i="6"/>
  <c r="AG58" i="6"/>
  <c r="AG11" i="6"/>
  <c r="BO22" i="6"/>
  <c r="BO69" i="6" s="1"/>
  <c r="BQ19" i="6"/>
  <c r="BQ66" i="6" s="1"/>
  <c r="E36" i="6"/>
  <c r="E83" i="6" s="1"/>
  <c r="E44" i="6"/>
  <c r="AI44" i="6"/>
  <c r="AI91" i="6" s="1"/>
  <c r="AD6" i="6"/>
  <c r="U10" i="35" s="1"/>
  <c r="V10" i="35" s="1"/>
  <c r="N44" i="6"/>
  <c r="BN9" i="6"/>
  <c r="BN56" i="6" s="1"/>
  <c r="H47" i="6"/>
  <c r="H94" i="6" s="1"/>
  <c r="BT22" i="6"/>
  <c r="BT69" i="6" s="1"/>
  <c r="Z34" i="6"/>
  <c r="Z81" i="6" s="1"/>
  <c r="BW16" i="6"/>
  <c r="BW63" i="6" s="1"/>
  <c r="BS15" i="6"/>
  <c r="BS62" i="6" s="1"/>
  <c r="BS29" i="6"/>
  <c r="BS76" i="6" s="1"/>
  <c r="BH17" i="6"/>
  <c r="BH64" i="6" s="1"/>
  <c r="BG30" i="6"/>
  <c r="BG77" i="6" s="1"/>
  <c r="I84" i="6"/>
  <c r="I37" i="6"/>
  <c r="AD41" i="6"/>
  <c r="AD88" i="6" s="1"/>
  <c r="J58" i="6"/>
  <c r="J11" i="6"/>
  <c r="BO39" i="6"/>
  <c r="BO86" i="6" s="1"/>
  <c r="BE6" i="6"/>
  <c r="BE53" i="6" s="1"/>
  <c r="BW25" i="6"/>
  <c r="BW72" i="6" s="1"/>
  <c r="BT39" i="6"/>
  <c r="BT86" i="6" s="1"/>
  <c r="M23" i="6"/>
  <c r="M70" i="6" s="1"/>
  <c r="BL21" i="6"/>
  <c r="BL68" i="6" s="1"/>
  <c r="BM33" i="6"/>
  <c r="BM80" i="6" s="1"/>
  <c r="BH40" i="6"/>
  <c r="BH87" i="6" s="1"/>
  <c r="BN42" i="6"/>
  <c r="BN89" i="6" s="1"/>
  <c r="BS33" i="6"/>
  <c r="BS80" i="6" s="1"/>
  <c r="BN35" i="6"/>
  <c r="BN82" i="6" s="1"/>
  <c r="Q85" i="6"/>
  <c r="Q38" i="6"/>
  <c r="BU11" i="6"/>
  <c r="BU58" i="6" s="1"/>
  <c r="P44" i="6"/>
  <c r="P17" i="6"/>
  <c r="P64" i="6"/>
  <c r="BV18" i="6"/>
  <c r="BV65" i="6" s="1"/>
  <c r="E16" i="6"/>
  <c r="E63" i="6"/>
  <c r="BL16" i="6"/>
  <c r="BU39" i="6"/>
  <c r="BU86" i="6" s="1"/>
  <c r="BS28" i="6"/>
  <c r="BS75" i="6" s="1"/>
  <c r="BM20" i="6"/>
  <c r="BM67" i="6" s="1"/>
  <c r="F34" i="6"/>
  <c r="F81" i="6" s="1"/>
  <c r="G64" i="6"/>
  <c r="G17" i="6"/>
  <c r="BQ23" i="6"/>
  <c r="BQ70" i="6" s="1"/>
  <c r="AG44" i="6"/>
  <c r="AG91" i="6" s="1"/>
  <c r="N54" i="6"/>
  <c r="N7" i="6"/>
  <c r="R37" i="6"/>
  <c r="R84" i="6" s="1"/>
  <c r="N46" i="6"/>
  <c r="N93" i="6"/>
  <c r="BT41" i="6"/>
  <c r="BT88" i="6" s="1"/>
  <c r="BW43" i="6"/>
  <c r="BW90" i="6" s="1"/>
  <c r="R44" i="6"/>
  <c r="BL24" i="6"/>
  <c r="BL71" i="6" s="1"/>
  <c r="BK34" i="6"/>
  <c r="BK81" i="6" s="1"/>
  <c r="BJ23" i="6"/>
  <c r="BJ70" i="6" s="1"/>
  <c r="BO10" i="6"/>
  <c r="BO57" i="6" s="1"/>
  <c r="BW15" i="6"/>
  <c r="BW62" i="6" s="1"/>
  <c r="I53" i="6"/>
  <c r="I6" i="6"/>
  <c r="BU29" i="6"/>
  <c r="BU76" i="6" s="1"/>
  <c r="N43" i="6"/>
  <c r="N90" i="6"/>
  <c r="G77" i="6"/>
  <c r="G30" i="6"/>
  <c r="BH42" i="6"/>
  <c r="BH89" i="6" s="1"/>
  <c r="BQ16" i="6"/>
  <c r="BQ63" i="6" s="1"/>
  <c r="G44" i="6"/>
  <c r="BG29" i="6"/>
  <c r="BG76" i="6" s="1"/>
  <c r="BE7" i="6"/>
  <c r="BE54" i="6" s="1"/>
  <c r="BW6" i="6"/>
  <c r="BW53" i="6" s="1"/>
  <c r="BH32" i="6"/>
  <c r="BH79" i="6" s="1"/>
  <c r="BO24" i="6"/>
  <c r="BO71" i="6" s="1"/>
  <c r="X44" i="6"/>
  <c r="X91" i="6" s="1"/>
  <c r="AI6" i="6"/>
  <c r="AI53" i="6" s="1"/>
  <c r="U15" i="35"/>
  <c r="V15" i="35" s="1"/>
  <c r="BQ6" i="6"/>
  <c r="BQ53" i="6" s="1"/>
  <c r="BG23" i="6"/>
  <c r="BG70" i="6" s="1"/>
  <c r="Y44" i="6"/>
  <c r="Y91" i="6" s="1"/>
  <c r="E27" i="6"/>
  <c r="I14" i="6"/>
  <c r="I61" i="6" s="1"/>
  <c r="S44" i="6"/>
  <c r="E17" i="6"/>
  <c r="E64" i="6"/>
  <c r="E41" i="6"/>
  <c r="F38" i="6"/>
  <c r="F85" i="6"/>
  <c r="BW13" i="6"/>
  <c r="BW60" i="6" s="1"/>
  <c r="E15" i="6"/>
  <c r="E62" i="6"/>
  <c r="AE46" i="6"/>
  <c r="AE93" i="6" s="1"/>
  <c r="E26" i="6"/>
  <c r="E73" i="6"/>
  <c r="E29" i="6"/>
  <c r="E76" i="6"/>
  <c r="AH6" i="6"/>
  <c r="U14" i="35" s="1"/>
  <c r="V14" i="35" s="1"/>
  <c r="E24" i="6"/>
  <c r="E71" i="6"/>
  <c r="E32" i="6"/>
  <c r="I44" i="6"/>
  <c r="E47" i="6"/>
  <c r="Y6" i="6"/>
  <c r="Y53" i="6" s="1"/>
  <c r="E48" i="6"/>
  <c r="BX48" i="6" s="1"/>
  <c r="E95" i="6"/>
  <c r="AB44" i="6"/>
  <c r="AB91" i="6" s="1"/>
  <c r="X6" i="6"/>
  <c r="X53" i="6" s="1"/>
  <c r="AB6" i="6"/>
  <c r="AB53" i="6" s="1"/>
  <c r="BP35" i="6"/>
  <c r="BP82" i="6" s="1"/>
  <c r="V44" i="6"/>
  <c r="K44" i="6"/>
  <c r="M44" i="6"/>
  <c r="AE6" i="6"/>
  <c r="U11" i="35" s="1"/>
  <c r="V11" i="35" s="1"/>
  <c r="BF37" i="6"/>
  <c r="BF84" i="6" s="1"/>
  <c r="E13" i="6"/>
  <c r="E60" i="6" s="1"/>
  <c r="BL41" i="6"/>
  <c r="BL88" i="6" s="1"/>
  <c r="BQ36" i="6"/>
  <c r="BQ83" i="6" s="1"/>
  <c r="BF36" i="6"/>
  <c r="BF83" i="6" s="1"/>
  <c r="J67" i="6"/>
  <c r="J20" i="6"/>
  <c r="BJ14" i="6"/>
  <c r="BJ61" i="6" s="1"/>
  <c r="O24" i="6"/>
  <c r="O71" i="6" s="1"/>
  <c r="BN41" i="6"/>
  <c r="BN88" i="6" s="1"/>
  <c r="E6" i="6"/>
  <c r="E53" i="6" s="1"/>
  <c r="BP6" i="6"/>
  <c r="BP53" i="6" s="1"/>
  <c r="O75" i="1" s="1"/>
  <c r="P75" i="1" s="1"/>
  <c r="E37" i="6"/>
  <c r="E84" i="6"/>
  <c r="E43" i="6"/>
  <c r="E90" i="6" s="1"/>
  <c r="E40" i="6"/>
  <c r="E20" i="6"/>
  <c r="E31" i="6"/>
  <c r="Z6" i="6"/>
  <c r="Z53" i="6" s="1"/>
  <c r="U6" i="35"/>
  <c r="V6" i="35" s="1"/>
  <c r="AH44" i="6"/>
  <c r="AH91" i="6" s="1"/>
  <c r="E38" i="6"/>
  <c r="E85" i="6"/>
  <c r="E22" i="6"/>
  <c r="E69" i="6"/>
  <c r="E28" i="6"/>
  <c r="E75" i="6"/>
  <c r="L44" i="6"/>
  <c r="BP13" i="6"/>
  <c r="BP60" i="6" s="1"/>
  <c r="U60" i="56" s="1"/>
  <c r="AC60" i="56" s="1"/>
  <c r="AI60" i="56" s="1"/>
  <c r="AJ60" i="56" s="1"/>
  <c r="AJ6" i="6"/>
  <c r="AJ53" i="6" s="1"/>
  <c r="U16" i="35"/>
  <c r="V16" i="35" s="1"/>
  <c r="E33" i="6"/>
  <c r="E9" i="6"/>
  <c r="E56" i="6"/>
  <c r="AC6" i="6"/>
  <c r="AC53" i="6" s="1"/>
  <c r="E35" i="6"/>
  <c r="E82" i="6"/>
  <c r="AG6" i="6"/>
  <c r="AG53" i="6" s="1"/>
  <c r="AA47" i="6"/>
  <c r="AA94" i="6" s="1"/>
  <c r="E42" i="6"/>
  <c r="E89" i="6"/>
  <c r="BP16" i="6"/>
  <c r="BP63" i="6" s="1"/>
  <c r="U72" i="56" s="1"/>
  <c r="AC72" i="56" s="1"/>
  <c r="AI72" i="56" s="1"/>
  <c r="AJ72" i="56" s="1"/>
  <c r="AD44" i="6"/>
  <c r="AD91" i="6" s="1"/>
  <c r="H44" i="6"/>
  <c r="O44" i="6"/>
  <c r="BP19" i="6"/>
  <c r="BP66" i="6" s="1"/>
  <c r="BP7" i="6"/>
  <c r="BP54" i="6" s="1"/>
  <c r="E49" i="6"/>
  <c r="E96" i="6"/>
  <c r="BP18" i="6"/>
  <c r="BP65" i="6" s="1"/>
  <c r="E30" i="6"/>
  <c r="E11" i="6"/>
  <c r="E58" i="6"/>
  <c r="E19" i="6"/>
  <c r="E14" i="6"/>
  <c r="E61" i="6" s="1"/>
  <c r="T44" i="6"/>
  <c r="AF44" i="6"/>
  <c r="AF91" i="6" s="1"/>
  <c r="E7" i="6"/>
  <c r="E54" i="6"/>
  <c r="E25" i="6"/>
  <c r="E72" i="6"/>
  <c r="J44" i="6"/>
  <c r="E10" i="6"/>
  <c r="E57" i="6" s="1"/>
  <c r="W6" i="6"/>
  <c r="W53" i="6" s="1"/>
  <c r="V6" i="6"/>
  <c r="V53" i="6" s="1"/>
  <c r="U2" i="35"/>
  <c r="V2" i="35" s="1"/>
  <c r="E12" i="6"/>
  <c r="E59" i="6" s="1"/>
  <c r="E34" i="6"/>
  <c r="E81" i="6"/>
  <c r="E18" i="6"/>
  <c r="BP20" i="6"/>
  <c r="BP67" i="6" s="1"/>
  <c r="BP9" i="6"/>
  <c r="BP56" i="6" s="1"/>
  <c r="E8" i="6"/>
  <c r="E55" i="6"/>
  <c r="E23" i="6"/>
  <c r="E46" i="6"/>
  <c r="BX46" i="6" s="1"/>
  <c r="E21" i="6"/>
  <c r="E68" i="6"/>
  <c r="E39" i="6"/>
  <c r="E86" i="6"/>
  <c r="BX25" i="6" l="1"/>
  <c r="AE53" i="6"/>
  <c r="BY91" i="6"/>
  <c r="U46" i="70" s="1"/>
  <c r="B138" i="53" s="1"/>
  <c r="BX39" i="6"/>
  <c r="BY54" i="6"/>
  <c r="BX23" i="6"/>
  <c r="BX27" i="6"/>
  <c r="BX30" i="6"/>
  <c r="BX37" i="6"/>
  <c r="BX17" i="6"/>
  <c r="BX32" i="6"/>
  <c r="BX26" i="6"/>
  <c r="BX34" i="6"/>
  <c r="BX35" i="6"/>
  <c r="BX33" i="6"/>
  <c r="BX22" i="6"/>
  <c r="BY86" i="6"/>
  <c r="U41" i="70" s="1"/>
  <c r="AA41" i="70" s="1"/>
  <c r="BX18" i="6"/>
  <c r="BX19" i="6"/>
  <c r="BX29" i="6"/>
  <c r="BY90" i="6"/>
  <c r="BY84" i="6"/>
  <c r="U39" i="70" s="1"/>
  <c r="BY61" i="6"/>
  <c r="U14" i="70" s="1"/>
  <c r="BX21" i="6"/>
  <c r="BX28" i="6"/>
  <c r="BX38" i="6"/>
  <c r="BX31" i="6"/>
  <c r="BX24" i="6"/>
  <c r="BY89" i="6"/>
  <c r="U44" i="70" s="1"/>
  <c r="BY87" i="6"/>
  <c r="BY88" i="6"/>
  <c r="BY85" i="6"/>
  <c r="U40" i="70" s="1"/>
  <c r="AA40" i="70" s="1"/>
  <c r="BY82" i="6"/>
  <c r="U36" i="70" s="1"/>
  <c r="B1838" i="53" s="1"/>
  <c r="BY80" i="6"/>
  <c r="BY58" i="6"/>
  <c r="U11" i="70" s="1"/>
  <c r="AA11" i="70" s="1"/>
  <c r="BY77" i="6"/>
  <c r="BY94" i="6"/>
  <c r="BY95" i="6"/>
  <c r="U51" i="70" s="1"/>
  <c r="AA51" i="70" s="1"/>
  <c r="BY78" i="6"/>
  <c r="BY67" i="6"/>
  <c r="BY56" i="6"/>
  <c r="U9" i="70" s="1"/>
  <c r="AA9" i="70" s="1"/>
  <c r="BY79" i="6"/>
  <c r="BY65" i="6"/>
  <c r="U20" i="70" s="1"/>
  <c r="AA20" i="70" s="1"/>
  <c r="BY93" i="6"/>
  <c r="BY75" i="6"/>
  <c r="U30" i="70" s="1"/>
  <c r="AA30" i="70" s="1"/>
  <c r="BY57" i="6"/>
  <c r="U10" i="70" s="1"/>
  <c r="AA10" i="70" s="1"/>
  <c r="BY59" i="6"/>
  <c r="U12" i="70" s="1"/>
  <c r="BY62" i="6"/>
  <c r="U15" i="70" s="1"/>
  <c r="BY83" i="6"/>
  <c r="U37" i="70" s="1"/>
  <c r="BY68" i="6"/>
  <c r="U23" i="70" s="1"/>
  <c r="BY60" i="6"/>
  <c r="U13" i="70" s="1"/>
  <c r="BY71" i="6"/>
  <c r="U26" i="70" s="1"/>
  <c r="BY92" i="6"/>
  <c r="BY64" i="6"/>
  <c r="U19" i="70" s="1"/>
  <c r="BY74" i="6"/>
  <c r="BY66" i="6"/>
  <c r="BY70" i="6"/>
  <c r="BY73" i="6"/>
  <c r="U28" i="70" s="1"/>
  <c r="BY81" i="6"/>
  <c r="U35" i="70" s="1"/>
  <c r="BY69" i="6"/>
  <c r="U24" i="70" s="1"/>
  <c r="BY72" i="6"/>
  <c r="U27" i="70" s="1"/>
  <c r="BY96" i="6"/>
  <c r="U52" i="70" s="1"/>
  <c r="BY76" i="6"/>
  <c r="U31" i="70" s="1"/>
  <c r="U45" i="70"/>
  <c r="B1095" i="53" s="1"/>
  <c r="O78" i="1"/>
  <c r="P78" i="1" s="1"/>
  <c r="U36" i="56"/>
  <c r="AC36" i="56" s="1"/>
  <c r="AI36" i="56" s="1"/>
  <c r="AJ36" i="56" s="1"/>
  <c r="R29" i="24"/>
  <c r="Y29" i="24" s="1"/>
  <c r="AB29" i="24" s="1"/>
  <c r="AC29" i="24" s="1"/>
  <c r="O89" i="1"/>
  <c r="P89" i="1" s="1"/>
  <c r="U48" i="56"/>
  <c r="AC48" i="56" s="1"/>
  <c r="AI48" i="56" s="1"/>
  <c r="AJ48" i="56" s="1"/>
  <c r="R40" i="24"/>
  <c r="Y40" i="24" s="1"/>
  <c r="AB40" i="24" s="1"/>
  <c r="AC40" i="24" s="1"/>
  <c r="O92" i="1"/>
  <c r="P92" i="1" s="1"/>
  <c r="U50" i="56"/>
  <c r="AC50" i="56" s="1"/>
  <c r="AI50" i="56" s="1"/>
  <c r="AJ50" i="56" s="1"/>
  <c r="R42" i="24"/>
  <c r="Y42" i="24" s="1"/>
  <c r="AB42" i="24" s="1"/>
  <c r="AC42" i="24" s="1"/>
  <c r="O79" i="1"/>
  <c r="P79" i="1" s="1"/>
  <c r="R30" i="24"/>
  <c r="Y30" i="24" s="1"/>
  <c r="AB30" i="24" s="1"/>
  <c r="AC30" i="24" s="1"/>
  <c r="U37" i="56"/>
  <c r="AC37" i="56" s="1"/>
  <c r="AI37" i="56" s="1"/>
  <c r="AJ37" i="56" s="1"/>
  <c r="R31" i="24"/>
  <c r="Y31" i="24" s="1"/>
  <c r="AB31" i="24" s="1"/>
  <c r="AC31" i="24" s="1"/>
  <c r="O80" i="1"/>
  <c r="P80" i="1" s="1"/>
  <c r="U38" i="56"/>
  <c r="AC38" i="56" s="1"/>
  <c r="AI38" i="56" s="1"/>
  <c r="AJ38" i="56" s="1"/>
  <c r="BX40" i="6"/>
  <c r="E87" i="6"/>
  <c r="U42" i="70" s="1"/>
  <c r="E93" i="6"/>
  <c r="E70" i="6"/>
  <c r="E65" i="6"/>
  <c r="U3" i="35"/>
  <c r="V3" i="35" s="1"/>
  <c r="E66" i="6"/>
  <c r="U9" i="35"/>
  <c r="V9" i="35" s="1"/>
  <c r="E80" i="6"/>
  <c r="BX47" i="6"/>
  <c r="BX41" i="6"/>
  <c r="BX20" i="6"/>
  <c r="E67" i="6"/>
  <c r="E77" i="6"/>
  <c r="U13" i="35"/>
  <c r="V13" i="35" s="1"/>
  <c r="E78" i="6"/>
  <c r="BX16" i="6"/>
  <c r="U4" i="35"/>
  <c r="V4" i="35" s="1"/>
  <c r="E94" i="6"/>
  <c r="E88" i="6"/>
  <c r="U43" i="70" s="1"/>
  <c r="AH53" i="6"/>
  <c r="BX36" i="6"/>
  <c r="U8" i="35"/>
  <c r="V8" i="35" s="1"/>
  <c r="U5" i="35"/>
  <c r="V5" i="35" s="1"/>
  <c r="E79" i="6"/>
  <c r="E74" i="6"/>
  <c r="BL63" i="6"/>
  <c r="BY63" i="6" s="1"/>
  <c r="U12" i="35"/>
  <c r="V12" i="35" s="1"/>
  <c r="AD53" i="6"/>
  <c r="AA53" i="6"/>
  <c r="AL5" i="6"/>
  <c r="AL1" i="6"/>
  <c r="AL55" i="6"/>
  <c r="AM1" i="6"/>
  <c r="AM55" i="6"/>
  <c r="AO1" i="6"/>
  <c r="AN1" i="6"/>
  <c r="U17" i="70" l="1"/>
  <c r="U34" i="70"/>
  <c r="U33" i="70"/>
  <c r="B1985" i="53"/>
  <c r="B892" i="53"/>
  <c r="U21" i="70"/>
  <c r="B312" i="53" s="1"/>
  <c r="U49" i="70"/>
  <c r="B20" i="53" s="1"/>
  <c r="U25" i="70"/>
  <c r="B428" i="53" s="1"/>
  <c r="U22" i="70"/>
  <c r="BY53" i="6"/>
  <c r="V17" i="35"/>
  <c r="W17" i="35" s="1"/>
  <c r="B1539" i="53"/>
  <c r="B2963" i="53"/>
  <c r="AA46" i="70"/>
  <c r="B142" i="53" s="1"/>
  <c r="B2993" i="53"/>
  <c r="B2605" i="53"/>
  <c r="AA44" i="70"/>
  <c r="B834" i="53"/>
  <c r="AA39" i="70"/>
  <c r="AF39" i="70" s="1"/>
  <c r="B2755" i="53"/>
  <c r="B1153" i="53"/>
  <c r="B1066" i="53"/>
  <c r="AA15" i="70"/>
  <c r="B1157" i="53" s="1"/>
  <c r="B2725" i="53"/>
  <c r="U29" i="70"/>
  <c r="B1331" i="53" s="1"/>
  <c r="B167" i="53"/>
  <c r="B2635" i="53"/>
  <c r="U50" i="70"/>
  <c r="B49" i="53" s="1"/>
  <c r="U32" i="70"/>
  <c r="AA32" i="70" s="1"/>
  <c r="AA19" i="70"/>
  <c r="AF19" i="70" s="1"/>
  <c r="B254" i="53"/>
  <c r="AA14" i="70"/>
  <c r="B2669" i="53" s="1"/>
  <c r="B2695" i="53"/>
  <c r="B1037" i="53"/>
  <c r="B2665" i="53"/>
  <c r="B370" i="53"/>
  <c r="AA23" i="70"/>
  <c r="B374" i="53" s="1"/>
  <c r="U16" i="70"/>
  <c r="AA16" i="70" s="1"/>
  <c r="BY55" i="6"/>
  <c r="U8" i="70" s="1"/>
  <c r="AA8" i="70" s="1"/>
  <c r="AF8" i="70" s="1"/>
  <c r="B1182" i="53"/>
  <c r="B573" i="53"/>
  <c r="AA36" i="70"/>
  <c r="AF36" i="70" s="1"/>
  <c r="B2785" i="53"/>
  <c r="B1420" i="53"/>
  <c r="B2815" i="53"/>
  <c r="B1390" i="53"/>
  <c r="B108" i="53"/>
  <c r="B776" i="53"/>
  <c r="AA52" i="70"/>
  <c r="B1128" i="53" s="1"/>
  <c r="B2904" i="53"/>
  <c r="B2934" i="53"/>
  <c r="B1124" i="53"/>
  <c r="AA28" i="70"/>
  <c r="B519" i="53" s="1"/>
  <c r="B1301" i="53"/>
  <c r="B1271" i="53"/>
  <c r="B515" i="53"/>
  <c r="B196" i="53"/>
  <c r="AA12" i="70"/>
  <c r="AF12" i="70" s="1"/>
  <c r="B486" i="53"/>
  <c r="AA27" i="70"/>
  <c r="B490" i="53" s="1"/>
  <c r="AA24" i="70"/>
  <c r="B403" i="53" s="1"/>
  <c r="B399" i="53"/>
  <c r="AA35" i="70"/>
  <c r="B1812" i="53" s="1"/>
  <c r="B747" i="53"/>
  <c r="B1808" i="53"/>
  <c r="B1778" i="53"/>
  <c r="B2874" i="53"/>
  <c r="B863" i="53"/>
  <c r="B1927" i="53"/>
  <c r="B2844" i="53"/>
  <c r="AA45" i="70"/>
  <c r="AF45" i="70" s="1"/>
  <c r="B921" i="53"/>
  <c r="B78" i="53"/>
  <c r="B2366" i="53"/>
  <c r="B2396" i="53"/>
  <c r="B2101" i="53"/>
  <c r="B979" i="53"/>
  <c r="AA43" i="70"/>
  <c r="B660" i="53"/>
  <c r="B1629" i="53"/>
  <c r="B1599" i="53"/>
  <c r="AA33" i="70"/>
  <c r="B258" i="53"/>
  <c r="B457" i="53"/>
  <c r="AA26" i="70"/>
  <c r="AF10" i="70"/>
  <c r="AF11" i="70"/>
  <c r="B171" i="53"/>
  <c r="B896" i="53"/>
  <c r="B1989" i="53"/>
  <c r="AF41" i="70"/>
  <c r="B838" i="53"/>
  <c r="B2247" i="53"/>
  <c r="B950" i="53"/>
  <c r="B1956" i="53"/>
  <c r="B2277" i="53"/>
  <c r="B2043" i="53"/>
  <c r="B1897" i="53"/>
  <c r="AA42" i="70"/>
  <c r="B780" i="53"/>
  <c r="B867" i="53"/>
  <c r="B1931" i="53"/>
  <c r="AF40" i="70"/>
  <c r="B1688" i="53"/>
  <c r="B689" i="53"/>
  <c r="B1658" i="53"/>
  <c r="AA17" i="70"/>
  <c r="B805" i="53"/>
  <c r="B1868" i="53"/>
  <c r="AA37" i="70"/>
  <c r="B1510" i="53"/>
  <c r="B2789" i="53"/>
  <c r="B1186" i="53"/>
  <c r="B2819" i="53"/>
  <c r="AF51" i="70"/>
  <c r="B341" i="53"/>
  <c r="AA22" i="70"/>
  <c r="AA13" i="70"/>
  <c r="B225" i="53"/>
  <c r="AF7" i="70"/>
  <c r="B2609" i="53"/>
  <c r="B2639" i="53"/>
  <c r="AF44" i="70"/>
  <c r="B1480" i="53"/>
  <c r="B1450" i="53"/>
  <c r="B602" i="53"/>
  <c r="AA31" i="70"/>
  <c r="B1748" i="53"/>
  <c r="B718" i="53"/>
  <c r="B1718" i="53"/>
  <c r="AA34" i="70"/>
  <c r="B283" i="53"/>
  <c r="B1070" i="53"/>
  <c r="AF15" i="70"/>
  <c r="B1394" i="53"/>
  <c r="B577" i="53"/>
  <c r="B1424" i="53"/>
  <c r="AF30" i="70"/>
  <c r="B112" i="53"/>
  <c r="AF9" i="70"/>
  <c r="B2188" i="53" l="1"/>
  <c r="AF14" i="70"/>
  <c r="AA25" i="70"/>
  <c r="AF27" i="70"/>
  <c r="AJ27" i="70" s="1"/>
  <c r="B496" i="53" s="1"/>
  <c r="B2699" i="53"/>
  <c r="B2545" i="53"/>
  <c r="B1041" i="53"/>
  <c r="AA50" i="70"/>
  <c r="B53" i="53" s="1"/>
  <c r="B2217" i="53"/>
  <c r="B1842" i="53"/>
  <c r="B200" i="53"/>
  <c r="AA21" i="70"/>
  <c r="AF21" i="70" s="1"/>
  <c r="B2014" i="53"/>
  <c r="B2575" i="53"/>
  <c r="B2759" i="53"/>
  <c r="B2159" i="53"/>
  <c r="B2729" i="53"/>
  <c r="AA49" i="70"/>
  <c r="B24" i="53" s="1"/>
  <c r="B2485" i="53"/>
  <c r="B2515" i="53"/>
  <c r="AF52" i="70"/>
  <c r="B1360" i="53"/>
  <c r="AF23" i="70"/>
  <c r="B1275" i="53"/>
  <c r="B2967" i="53"/>
  <c r="AF46" i="70"/>
  <c r="B1543" i="53"/>
  <c r="B2997" i="53"/>
  <c r="B1569" i="53"/>
  <c r="AF28" i="70"/>
  <c r="AK28" i="70" s="1"/>
  <c r="AA29" i="70"/>
  <c r="AF29" i="70" s="1"/>
  <c r="B2908" i="53"/>
  <c r="B631" i="53"/>
  <c r="B1305" i="53"/>
  <c r="B544" i="53"/>
  <c r="AF24" i="70"/>
  <c r="AJ24" i="70" s="1"/>
  <c r="B409" i="53" s="1"/>
  <c r="B2938" i="53"/>
  <c r="B2878" i="53"/>
  <c r="B1782" i="53"/>
  <c r="AA38" i="70"/>
  <c r="B751" i="53"/>
  <c r="B2848" i="53"/>
  <c r="AF35" i="70"/>
  <c r="AK35" i="70" s="1"/>
  <c r="B1099" i="53"/>
  <c r="AA5" i="70"/>
  <c r="B722" i="53"/>
  <c r="B1752" i="53"/>
  <c r="B1722" i="53"/>
  <c r="AF34" i="70"/>
  <c r="B606" i="53"/>
  <c r="B1454" i="53"/>
  <c r="B1484" i="53"/>
  <c r="AF31" i="70"/>
  <c r="AJ44" i="70"/>
  <c r="AK44" i="70"/>
  <c r="AK30" i="70"/>
  <c r="AJ30" i="70"/>
  <c r="AJ15" i="70"/>
  <c r="AK15" i="70"/>
  <c r="AK7" i="70"/>
  <c r="AJ7" i="70"/>
  <c r="B229" i="53"/>
  <c r="AF13" i="70"/>
  <c r="AK14" i="70"/>
  <c r="AJ14" i="70"/>
  <c r="AJ28" i="70"/>
  <c r="B1364" i="53"/>
  <c r="B1335" i="53"/>
  <c r="AJ39" i="70"/>
  <c r="AK39" i="70"/>
  <c r="AK10" i="70"/>
  <c r="AJ10" i="70"/>
  <c r="AJ52" i="70"/>
  <c r="AK52" i="70"/>
  <c r="AK23" i="70"/>
  <c r="AJ23" i="70"/>
  <c r="B380" i="53" s="1"/>
  <c r="B432" i="53"/>
  <c r="AF25" i="70"/>
  <c r="AK19" i="70"/>
  <c r="AJ19" i="70"/>
  <c r="B2221" i="53"/>
  <c r="B925" i="53"/>
  <c r="B2018" i="53"/>
  <c r="AF16" i="70"/>
  <c r="B345" i="53"/>
  <c r="AF22" i="70"/>
  <c r="AJ45" i="70"/>
  <c r="AK45" i="70"/>
  <c r="AK36" i="70"/>
  <c r="AJ36" i="70"/>
  <c r="AK12" i="70"/>
  <c r="AJ12" i="70"/>
  <c r="B206" i="53" s="1"/>
  <c r="B1633" i="53"/>
  <c r="B664" i="53"/>
  <c r="B1603" i="53"/>
  <c r="AF33" i="70"/>
  <c r="B2105" i="53"/>
  <c r="B983" i="53"/>
  <c r="B2370" i="53"/>
  <c r="B2400" i="53"/>
  <c r="AF43" i="70"/>
  <c r="AK9" i="70"/>
  <c r="AJ9" i="70"/>
  <c r="B1692" i="53"/>
  <c r="B693" i="53"/>
  <c r="B1662" i="53"/>
  <c r="AF17" i="70"/>
  <c r="AJ40" i="70"/>
  <c r="AK40" i="70"/>
  <c r="B2489" i="53"/>
  <c r="B2163" i="53"/>
  <c r="B2519" i="53"/>
  <c r="AF49" i="70"/>
  <c r="B461" i="53"/>
  <c r="AF26" i="70"/>
  <c r="B82" i="53"/>
  <c r="B287" i="53"/>
  <c r="AF20" i="70"/>
  <c r="AK51" i="70"/>
  <c r="AJ51" i="70"/>
  <c r="B635" i="53"/>
  <c r="B1514" i="53"/>
  <c r="B1573" i="53"/>
  <c r="AF32" i="70"/>
  <c r="B809" i="53"/>
  <c r="AF37" i="70"/>
  <c r="B1872" i="53"/>
  <c r="B954" i="53"/>
  <c r="B2047" i="53"/>
  <c r="B1960" i="53"/>
  <c r="B2281" i="53"/>
  <c r="B1901" i="53"/>
  <c r="B2251" i="53"/>
  <c r="AF42" i="70"/>
  <c r="AJ41" i="70"/>
  <c r="AK41" i="70"/>
  <c r="AJ11" i="70"/>
  <c r="B177" i="53" s="1"/>
  <c r="AK11" i="70"/>
  <c r="B316" i="53" l="1"/>
  <c r="AK27" i="70"/>
  <c r="AF50" i="70"/>
  <c r="B2579" i="53"/>
  <c r="AA18" i="70"/>
  <c r="B2192" i="53"/>
  <c r="B548" i="53"/>
  <c r="B2549" i="53"/>
  <c r="AA47" i="70"/>
  <c r="AK24" i="70"/>
  <c r="AF38" i="70"/>
  <c r="AJ35" i="70"/>
  <c r="B757" i="53" s="1"/>
  <c r="AK46" i="70"/>
  <c r="AJ46" i="70"/>
  <c r="AF47" i="70"/>
  <c r="AF5" i="70"/>
  <c r="AA53" i="70"/>
  <c r="AF18" i="70"/>
  <c r="B118" i="53"/>
  <c r="AK17" i="70"/>
  <c r="AJ17" i="70"/>
  <c r="AJ43" i="70"/>
  <c r="AK43" i="70"/>
  <c r="AK25" i="70"/>
  <c r="AJ25" i="70"/>
  <c r="B438" i="53" s="1"/>
  <c r="B1400" i="53"/>
  <c r="B1430" i="53"/>
  <c r="B583" i="53"/>
  <c r="AJ31" i="70"/>
  <c r="AK31" i="70"/>
  <c r="AJ34" i="70"/>
  <c r="AK34" i="70"/>
  <c r="AJ32" i="70"/>
  <c r="AK32" i="70"/>
  <c r="B2795" i="53"/>
  <c r="B1192" i="53"/>
  <c r="B2825" i="53"/>
  <c r="AK49" i="70"/>
  <c r="AJ49" i="70"/>
  <c r="B30" i="53" s="1"/>
  <c r="AK50" i="70"/>
  <c r="AJ50" i="70"/>
  <c r="B59" i="53" s="1"/>
  <c r="AK33" i="70"/>
  <c r="AJ33" i="70"/>
  <c r="AK16" i="70"/>
  <c r="AJ16" i="70"/>
  <c r="B264" i="53"/>
  <c r="B2914" i="53"/>
  <c r="B2944" i="53"/>
  <c r="B1134" i="53"/>
  <c r="B844" i="53"/>
  <c r="AJ29" i="70"/>
  <c r="AK29" i="70"/>
  <c r="AJ13" i="70"/>
  <c r="B235" i="53" s="1"/>
  <c r="AK13" i="70"/>
  <c r="B902" i="53"/>
  <c r="B1995" i="53"/>
  <c r="AJ8" i="70"/>
  <c r="B88" i="53" s="1"/>
  <c r="AK8" i="70"/>
  <c r="AK5" i="70" s="1"/>
  <c r="B2884" i="53"/>
  <c r="B1105" i="53"/>
  <c r="B2854" i="53"/>
  <c r="B1311" i="53"/>
  <c r="B525" i="53"/>
  <c r="B1281" i="53"/>
  <c r="AJ42" i="70"/>
  <c r="AK42" i="70"/>
  <c r="AJ37" i="70"/>
  <c r="AK37" i="70"/>
  <c r="AK20" i="70"/>
  <c r="AJ20" i="70"/>
  <c r="AK26" i="70"/>
  <c r="AJ26" i="70"/>
  <c r="B467" i="53" s="1"/>
  <c r="AK21" i="70"/>
  <c r="AJ21" i="70"/>
  <c r="B322" i="53" s="1"/>
  <c r="B1937" i="53"/>
  <c r="B873" i="53"/>
  <c r="B1848" i="53"/>
  <c r="B786" i="53"/>
  <c r="AJ22" i="70"/>
  <c r="B351" i="53" s="1"/>
  <c r="AK22" i="70"/>
  <c r="B1047" i="53"/>
  <c r="B2705" i="53"/>
  <c r="B2675" i="53"/>
  <c r="B2735" i="53"/>
  <c r="B2765" i="53"/>
  <c r="B1163" i="53"/>
  <c r="B1076" i="53"/>
  <c r="B2645" i="53"/>
  <c r="B2615" i="53"/>
  <c r="B1788" i="53" l="1"/>
  <c r="B1818" i="53"/>
  <c r="B1549" i="53"/>
  <c r="B2973" i="53"/>
  <c r="B3003" i="53"/>
  <c r="B148" i="53"/>
  <c r="AJ38" i="70"/>
  <c r="AF53" i="70"/>
  <c r="AJ18" i="70"/>
  <c r="AJ5" i="70"/>
  <c r="AJ47" i="70"/>
  <c r="B293" i="53"/>
  <c r="AK18" i="70"/>
  <c r="AK38" i="70"/>
  <c r="B1966" i="53"/>
  <c r="B960" i="53"/>
  <c r="B1907" i="53"/>
  <c r="B2053" i="53"/>
  <c r="B2287" i="53"/>
  <c r="B2257" i="53"/>
  <c r="B1370" i="53"/>
  <c r="B1341" i="53"/>
  <c r="B554" i="53"/>
  <c r="B2227" i="53"/>
  <c r="B931" i="53"/>
  <c r="B2024" i="53"/>
  <c r="B2585" i="53"/>
  <c r="B2198" i="53"/>
  <c r="B2555" i="53"/>
  <c r="AK47" i="70"/>
  <c r="B641" i="53"/>
  <c r="B1579" i="53"/>
  <c r="B1520" i="53"/>
  <c r="B612" i="53"/>
  <c r="B1460" i="53"/>
  <c r="B1490" i="53"/>
  <c r="B2406" i="53"/>
  <c r="B2376" i="53"/>
  <c r="B989" i="53"/>
  <c r="B2111" i="53"/>
  <c r="B1609" i="53"/>
  <c r="B670" i="53"/>
  <c r="B1639" i="53"/>
  <c r="B2169" i="53"/>
  <c r="B2495" i="53"/>
  <c r="B2525" i="53"/>
  <c r="B1668" i="53"/>
  <c r="B699" i="53"/>
  <c r="B1698" i="53"/>
  <c r="B1878" i="53"/>
  <c r="B815" i="53"/>
  <c r="AL37" i="70"/>
  <c r="B1758" i="53"/>
  <c r="B1728" i="53"/>
  <c r="B728" i="53"/>
  <c r="AJ53" i="70" l="1"/>
  <c r="AK53" i="70"/>
  <c r="AK56" i="70" l="1"/>
  <c r="AJ55" i="70"/>
  <c r="AI58" i="70"/>
</calcChain>
</file>

<file path=xl/comments1.xml><?xml version="1.0" encoding="utf-8"?>
<comments xmlns="http://schemas.openxmlformats.org/spreadsheetml/2006/main">
  <authors>
    <author>Luxury</author>
  </authors>
  <commentList>
    <comment ref="D98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XLB qua</t>
        </r>
      </text>
    </comment>
    <comment ref="D99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công nhân đóng gói qua</t>
        </r>
      </text>
    </comment>
    <comment ref="D100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vận hành máy qua</t>
        </r>
      </text>
    </comment>
  </commentList>
</comments>
</file>

<file path=xl/comments2.xml><?xml version="1.0" encoding="utf-8"?>
<comments xmlns="http://schemas.openxmlformats.org/spreadsheetml/2006/main">
  <authors>
    <author>Luxury</author>
  </authors>
  <commentList>
    <comment ref="D32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XLB qua</t>
        </r>
      </text>
    </comment>
    <comment ref="D33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vận hành máy </t>
        </r>
      </text>
    </comment>
    <comment ref="D34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ĐS qua</t>
        </r>
      </text>
    </comment>
    <comment ref="D35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Vận hành máy qua</t>
        </r>
      </text>
    </comment>
  </commentList>
</comments>
</file>

<file path=xl/comments3.xml><?xml version="1.0" encoding="utf-8"?>
<comments xmlns="http://schemas.openxmlformats.org/spreadsheetml/2006/main">
  <authors>
    <author>Luxury</author>
  </authors>
  <commentList>
    <comment ref="AO62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1 ngày của tháng 01
</t>
        </r>
      </text>
    </comment>
  </commentList>
</comments>
</file>

<file path=xl/comments4.xml><?xml version="1.0" encoding="utf-8"?>
<comments xmlns="http://schemas.openxmlformats.org/spreadsheetml/2006/main">
  <authors>
    <author>Luxury</author>
  </authors>
  <commentList>
    <comment ref="AO14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bù thiếu tháng 6</t>
        </r>
      </text>
    </comment>
    <comment ref="I19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cơ bản do k sắp xếp được công việc</t>
        </r>
      </text>
    </comment>
    <comment ref="T19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do k sắp xếp được công việc</t>
        </r>
      </text>
    </comment>
    <comment ref="AH19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cơ bản do không sắp xếp được cộng việc</t>
        </r>
      </text>
    </comment>
    <comment ref="T20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do k sắp xếp được công việc</t>
        </r>
      </text>
    </comment>
    <comment ref="AA21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do không sắp xếp được công việc</t>
        </r>
      </text>
    </comment>
    <comment ref="I23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cơ bản</t>
        </r>
      </text>
    </comment>
    <comment ref="V23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cơ bản do không sắp xếp được công việc</t>
        </r>
      </text>
    </comment>
    <comment ref="AH23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cơ bản do không sắp xếp được cộng việc</t>
        </r>
      </text>
    </comment>
    <comment ref="T24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cơ bản do không sắp xếp được công việc</t>
        </r>
      </text>
    </comment>
    <comment ref="AH24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cơ bản do không sắp xếp được cộng việc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do k sắp xếp được công việc</t>
        </r>
      </text>
    </comment>
    <comment ref="AH29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cơ bản do không sắp xếp được cộng việc</t>
        </r>
      </text>
    </comment>
    <comment ref="D33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XLB qua</t>
        </r>
      </text>
    </comment>
    <comment ref="D34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công nhân đóng gói qua</t>
        </r>
      </text>
    </comment>
    <comment ref="K34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do k sắp xếp được công việc</t>
        </r>
      </text>
    </comment>
    <comment ref="O34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do k sắp xếp được công việc</t>
        </r>
      </text>
    </comment>
    <comment ref="Y34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nghỉ hưởng lương do k sắp xếp được công việc</t>
        </r>
      </text>
    </comment>
    <comment ref="D35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vận hành máy qua</t>
        </r>
      </text>
    </comment>
    <comment ref="AP39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bù thiếu 4 tiếng tháng 7 </t>
        </r>
      </text>
    </comment>
  </commentList>
</comments>
</file>

<file path=xl/comments5.xml><?xml version="1.0" encoding="utf-8"?>
<comments xmlns="http://schemas.openxmlformats.org/spreadsheetml/2006/main">
  <authors>
    <author>Luxury</author>
  </authors>
  <commentList>
    <comment ref="AI14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trả lại tiền BHXH tháng trước trừ nhầm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vận hành máy </t>
        </r>
      </text>
    </comment>
    <comment ref="D33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XLB qua</t>
        </r>
      </text>
    </comment>
    <comment ref="D34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ĐS qua</t>
        </r>
      </text>
    </comment>
    <comment ref="D35" authorId="0" shapeId="0">
      <text>
        <r>
          <rPr>
            <b/>
            <sz val="9"/>
            <color indexed="81"/>
            <rFont val="Tahoma"/>
            <family val="2"/>
          </rPr>
          <t>Luxury:</t>
        </r>
        <r>
          <rPr>
            <sz val="9"/>
            <color indexed="81"/>
            <rFont val="Tahoma"/>
            <family val="2"/>
          </rPr>
          <t xml:space="preserve">
Chuyển từ Vận hành máy qua</t>
        </r>
      </text>
    </comment>
  </commentList>
</comments>
</file>

<file path=xl/sharedStrings.xml><?xml version="1.0" encoding="utf-8"?>
<sst xmlns="http://schemas.openxmlformats.org/spreadsheetml/2006/main" count="6065" uniqueCount="919">
  <si>
    <t>STT</t>
  </si>
  <si>
    <t>Mã Nhân viên</t>
  </si>
  <si>
    <t>Họ và Tên</t>
  </si>
  <si>
    <t>Chức vụ</t>
  </si>
  <si>
    <t>BAN GIÁM ĐỐC</t>
  </si>
  <si>
    <t>A</t>
  </si>
  <si>
    <t>B</t>
  </si>
  <si>
    <t>PHÒNG TÀI CHÍNH - KẾ TOÁN</t>
  </si>
  <si>
    <t>C</t>
  </si>
  <si>
    <t>PHÒNG VẬT TƯ</t>
  </si>
  <si>
    <t>D</t>
  </si>
  <si>
    <t>PHÒNG KINH DOANH</t>
  </si>
  <si>
    <t>F</t>
  </si>
  <si>
    <t>PHÒNG HÀNH CHÍNH - NHÂN SỰ</t>
  </si>
  <si>
    <t>G</t>
  </si>
  <si>
    <t>QUẢN LÝ SẢN XUẤT</t>
  </si>
  <si>
    <t>H</t>
  </si>
  <si>
    <t>CHUYÊN VIÊN KỸ THUẬT</t>
  </si>
  <si>
    <t>J</t>
  </si>
  <si>
    <t>CÔNG NHÂN KỸ THUẬT</t>
  </si>
  <si>
    <t>Ngô Pa Ri</t>
  </si>
  <si>
    <t>Nguyễn Văn Thảo</t>
  </si>
  <si>
    <t>Nguyễn Văn Bảy</t>
  </si>
  <si>
    <t>Ngô Thị Phan Hiền</t>
  </si>
  <si>
    <t>Ninh Phương Hạnh</t>
  </si>
  <si>
    <t>Nguyễn Thị Hồng Ánh</t>
  </si>
  <si>
    <t>Nguyễn Thái Ngân</t>
  </si>
  <si>
    <t>Lê Minh Trung</t>
  </si>
  <si>
    <t>Trương Công Oanh</t>
  </si>
  <si>
    <t>Lê Thanh Huy</t>
  </si>
  <si>
    <t>Ngô Thế Giang</t>
  </si>
  <si>
    <t>Trần Văn Vị Toàn</t>
  </si>
  <si>
    <t>Phương Bình</t>
  </si>
  <si>
    <t>Phạm Thanh Tùng</t>
  </si>
  <si>
    <t>Huỳnh Thanh Liêm</t>
  </si>
  <si>
    <t>Nguyễn Đỗ Quỳnh Phương</t>
  </si>
  <si>
    <t>Đồng Anh Tuấn</t>
  </si>
  <si>
    <t>Nguyễn Thọ Ngọc</t>
  </si>
  <si>
    <t>Hoàng Giáng Sinh</t>
  </si>
  <si>
    <t>Cao Hiệp Thương</t>
  </si>
  <si>
    <t xml:space="preserve">Nguyễn Cường </t>
  </si>
  <si>
    <t>Lê Đức Bình</t>
  </si>
  <si>
    <t>Nguyễn Văn Tuấn</t>
  </si>
  <si>
    <t>Đặng Duy Phương</t>
  </si>
  <si>
    <t>Nguyễn Tuấn Anh</t>
  </si>
  <si>
    <t>Nguyễn Thị Thơ</t>
  </si>
  <si>
    <t>Phạm Văn Phú</t>
  </si>
  <si>
    <t>Huỳnh Tấn Công</t>
  </si>
  <si>
    <t>Phạm Thị Nhẫn</t>
  </si>
  <si>
    <t>Hình Phúc Nhân</t>
  </si>
  <si>
    <t>Lê Tấn Dũng</t>
  </si>
  <si>
    <t>Nguyễn Thanh Tùng</t>
  </si>
  <si>
    <t>Nguyễn Thành Ngoan</t>
  </si>
  <si>
    <t>Nguyễn Thanh Cường</t>
  </si>
  <si>
    <t>Nguyễn Ngọc Hiếu</t>
  </si>
  <si>
    <t>Khâu Phước Tài</t>
  </si>
  <si>
    <t>Nguyễn Văn Linh</t>
  </si>
  <si>
    <t>Nguyễn Văn Chung</t>
  </si>
  <si>
    <t>Lê Hoàng Phúc</t>
  </si>
  <si>
    <t>Nguyễn Hùng Dũng</t>
  </si>
  <si>
    <t>Nguyễn Văn Do</t>
  </si>
  <si>
    <t>Hồ Phan Thiết Toàn</t>
  </si>
  <si>
    <t>Nguyễn Đình Huệ</t>
  </si>
  <si>
    <t>Nguyễn Văn Thanh</t>
  </si>
  <si>
    <t>Chề A Sắt</t>
  </si>
  <si>
    <t>Ngô Đình Chung</t>
  </si>
  <si>
    <t>Lê Công Nhất Trung</t>
  </si>
  <si>
    <t>Trần Ngọc Minh</t>
  </si>
  <si>
    <t>Chung Văn Hiệp</t>
  </si>
  <si>
    <t>Triệu Minh Thắng</t>
  </si>
  <si>
    <t>Nguyễn Trọng Minh</t>
  </si>
  <si>
    <t>Châu Thành Nhân</t>
  </si>
  <si>
    <t>Đào Công Thắng</t>
  </si>
  <si>
    <t>Nguyễn Thành Phụng</t>
  </si>
  <si>
    <t>Lê Tấn Phát</t>
  </si>
  <si>
    <t>Thạch Giàu</t>
  </si>
  <si>
    <t>Nguyễn Quốc Việt</t>
  </si>
  <si>
    <t>Trần Thanh Hậu</t>
  </si>
  <si>
    <t>Nguyễn Tấn Kiệt</t>
  </si>
  <si>
    <t>Nguyễn Văn Hoàng</t>
  </si>
  <si>
    <t>Quách Văn Chánh</t>
  </si>
  <si>
    <t>Nguyễn Thanh Nhàn</t>
  </si>
  <si>
    <t>Lê Tấn Hùng</t>
  </si>
  <si>
    <t>Lâm Ban</t>
  </si>
  <si>
    <t>Ngô Văn Thanh</t>
  </si>
  <si>
    <t>Triệu Quốc Minh</t>
  </si>
  <si>
    <t>Nguyễn Văn Phụng</t>
  </si>
  <si>
    <t>Nguyễn Văn Chạy</t>
  </si>
  <si>
    <t>Hà Hoàng Hùng</t>
  </si>
  <si>
    <t xml:space="preserve">Phan Văn Bạn </t>
  </si>
  <si>
    <t xml:space="preserve">Nguyễn Văn Lâm </t>
  </si>
  <si>
    <t xml:space="preserve">Nguyễn Minh Tuấn </t>
  </si>
  <si>
    <t xml:space="preserve">Phan Hoàng Phương </t>
  </si>
  <si>
    <t xml:space="preserve">Trần Văn Thứ </t>
  </si>
  <si>
    <t>CTHĐTV</t>
  </si>
  <si>
    <t>Tổng Giám Đốc</t>
  </si>
  <si>
    <t>Giám Đốc Tài Chính - Kế Toán trưởng</t>
  </si>
  <si>
    <t>Chuyên viên Tài Chính</t>
  </si>
  <si>
    <t>Thủ quỹ</t>
  </si>
  <si>
    <t>KTV</t>
  </si>
  <si>
    <t>NV thu nợ</t>
  </si>
  <si>
    <t>KT Tổng Hợp</t>
  </si>
  <si>
    <t>Trưởng Ban Vật tư</t>
  </si>
  <si>
    <t>Giám Sát</t>
  </si>
  <si>
    <t>NV thu mua</t>
  </si>
  <si>
    <t>Giám Đốc Kinh Doanh</t>
  </si>
  <si>
    <t>Sale Admin</t>
  </si>
  <si>
    <t>Ngô Mạnh Linh</t>
  </si>
  <si>
    <t>TBP điều xe</t>
  </si>
  <si>
    <t>Tài xế</t>
  </si>
  <si>
    <t>Phan Thanh Tùng</t>
  </si>
  <si>
    <t>Nguyễn Hồng Hải</t>
  </si>
  <si>
    <t>TBP Giao nhận</t>
  </si>
  <si>
    <t>TBP Bán hàng</t>
  </si>
  <si>
    <t>NV kinh doanh</t>
  </si>
  <si>
    <t>NV giao nhận</t>
  </si>
  <si>
    <t>NV Phụ xe</t>
  </si>
  <si>
    <t>NV HC-NS</t>
  </si>
  <si>
    <t>NV01</t>
  </si>
  <si>
    <t>NV02</t>
  </si>
  <si>
    <t>NV03</t>
  </si>
  <si>
    <t>NV04</t>
  </si>
  <si>
    <t>NV05</t>
  </si>
  <si>
    <t>NV06</t>
  </si>
  <si>
    <t>NV07</t>
  </si>
  <si>
    <t>NV08</t>
  </si>
  <si>
    <t>NV09</t>
  </si>
  <si>
    <t>NV10</t>
  </si>
  <si>
    <t>NV11</t>
  </si>
  <si>
    <t>NV12</t>
  </si>
  <si>
    <t>NV13</t>
  </si>
  <si>
    <t>NV14</t>
  </si>
  <si>
    <t>NV15</t>
  </si>
  <si>
    <t>NV16</t>
  </si>
  <si>
    <t>NV17</t>
  </si>
  <si>
    <t>NV18</t>
  </si>
  <si>
    <t>NV19</t>
  </si>
  <si>
    <t>NV20</t>
  </si>
  <si>
    <t>NV21</t>
  </si>
  <si>
    <t>NV22</t>
  </si>
  <si>
    <t>NV23</t>
  </si>
  <si>
    <t>NV24</t>
  </si>
  <si>
    <t>NV25</t>
  </si>
  <si>
    <t>NV26</t>
  </si>
  <si>
    <t>NV27</t>
  </si>
  <si>
    <t>NV28</t>
  </si>
  <si>
    <t>NV29</t>
  </si>
  <si>
    <t>NV30</t>
  </si>
  <si>
    <t>NV31</t>
  </si>
  <si>
    <t>NV32</t>
  </si>
  <si>
    <t>NV33</t>
  </si>
  <si>
    <t>NV34</t>
  </si>
  <si>
    <t>NV35</t>
  </si>
  <si>
    <t>NV36</t>
  </si>
  <si>
    <t>NV37</t>
  </si>
  <si>
    <t>NV38</t>
  </si>
  <si>
    <t>NV39</t>
  </si>
  <si>
    <t>NV40</t>
  </si>
  <si>
    <t>NV41</t>
  </si>
  <si>
    <t>NV42</t>
  </si>
  <si>
    <t>NV43</t>
  </si>
  <si>
    <t>NV44</t>
  </si>
  <si>
    <t>NV45</t>
  </si>
  <si>
    <t>NV46</t>
  </si>
  <si>
    <t>NV47</t>
  </si>
  <si>
    <t>NV48</t>
  </si>
  <si>
    <t>NV49</t>
  </si>
  <si>
    <t>NV50</t>
  </si>
  <si>
    <t>NV51</t>
  </si>
  <si>
    <t>NV52</t>
  </si>
  <si>
    <t>NV53</t>
  </si>
  <si>
    <t>NV54</t>
  </si>
  <si>
    <t>NV55</t>
  </si>
  <si>
    <t>NV56</t>
  </si>
  <si>
    <t>NV57</t>
  </si>
  <si>
    <t>NV58</t>
  </si>
  <si>
    <t>NV59</t>
  </si>
  <si>
    <t>NV60</t>
  </si>
  <si>
    <t>NV61</t>
  </si>
  <si>
    <t>NV62</t>
  </si>
  <si>
    <t>NV63</t>
  </si>
  <si>
    <t>NV64</t>
  </si>
  <si>
    <t>NV65</t>
  </si>
  <si>
    <t>NV66</t>
  </si>
  <si>
    <t>NV67</t>
  </si>
  <si>
    <t>NV68</t>
  </si>
  <si>
    <t>NV69</t>
  </si>
  <si>
    <t>NV70</t>
  </si>
  <si>
    <t>NV71</t>
  </si>
  <si>
    <t>NV72</t>
  </si>
  <si>
    <t>NV73</t>
  </si>
  <si>
    <t>NV74</t>
  </si>
  <si>
    <t>NV75</t>
  </si>
  <si>
    <t>NV76</t>
  </si>
  <si>
    <t>NV77</t>
  </si>
  <si>
    <t>NV78</t>
  </si>
  <si>
    <t>NV79</t>
  </si>
  <si>
    <t>NV80</t>
  </si>
  <si>
    <t>NV81</t>
  </si>
  <si>
    <t>NV82</t>
  </si>
  <si>
    <t>NV83</t>
  </si>
  <si>
    <t>Quản đốc SX</t>
  </si>
  <si>
    <t>Trợ lý SX</t>
  </si>
  <si>
    <t>NV trạm cân</t>
  </si>
  <si>
    <t>KS Môi trường</t>
  </si>
  <si>
    <t>KS Nông nghiệp</t>
  </si>
  <si>
    <t>Lái xe cơ giới</t>
  </si>
  <si>
    <t xml:space="preserve">Công nhân </t>
  </si>
  <si>
    <t>D.01</t>
  </si>
  <si>
    <t>D.02</t>
  </si>
  <si>
    <t>D.03</t>
  </si>
  <si>
    <t>D.04</t>
  </si>
  <si>
    <t>D.05</t>
  </si>
  <si>
    <t>A. MỨC LƯƠNG TỐI THIỂU: Mức lương tối thiểu doanh nghiệp áp dụng:</t>
  </si>
  <si>
    <t>B. HỆ THỐNG THANG LƯƠNG, BẢNG LƯƠNG</t>
  </si>
  <si>
    <t>I. Thang lương chức vụ quản lý doanh nghiệp:</t>
  </si>
  <si>
    <t>Chức danh công việc</t>
  </si>
  <si>
    <t>Ngạch lương</t>
  </si>
  <si>
    <t>Hệ số</t>
  </si>
  <si>
    <t>Mức lương tháng</t>
  </si>
  <si>
    <t>Mức lương ngày</t>
  </si>
  <si>
    <t>2. Kế toán trưởng, Trưởng phòng</t>
  </si>
  <si>
    <t>II. Thang lương viên chức, chuyên môn, thừa hành, nghiệp vụ:</t>
  </si>
  <si>
    <t>1. Trợ lý GĐ, trưởng đầu ngành, chuyên viên</t>
  </si>
  <si>
    <t>5. Nhân viên văn thư, NVgiao hàng, phụ xe</t>
  </si>
  <si>
    <t>6. Lao động phổ thông, Tạp vụ</t>
  </si>
  <si>
    <t>ñ/thaùng</t>
  </si>
  <si>
    <t>Baäc</t>
  </si>
  <si>
    <t>3. NV Kinh doanh</t>
  </si>
  <si>
    <t>Lương tối thiểu</t>
  </si>
  <si>
    <t>hệ số lương</t>
  </si>
  <si>
    <t>4. NV văn phòng, NV V.Tư</t>
  </si>
  <si>
    <t>Thành tiền lương CB</t>
  </si>
  <si>
    <t>D.06</t>
  </si>
  <si>
    <t>D.07</t>
  </si>
  <si>
    <t>D.08</t>
  </si>
  <si>
    <t>D.09</t>
  </si>
  <si>
    <t>Tổng thu nhập</t>
  </si>
  <si>
    <t>lương định mức</t>
  </si>
  <si>
    <t>Triệu Minh Tuấn</t>
  </si>
  <si>
    <t>Nguyễn Thanh Lâm</t>
  </si>
  <si>
    <t>Mã CV</t>
  </si>
  <si>
    <t>Đóng gói</t>
  </si>
  <si>
    <t>Bốc xếp</t>
  </si>
  <si>
    <t>Làm vườn rau</t>
  </si>
  <si>
    <t>Tưới cây</t>
  </si>
  <si>
    <t>Lượm rác, đá (xử lý sơ bộ)</t>
  </si>
  <si>
    <t>Dọn vệ sinh</t>
  </si>
  <si>
    <t>Trồng cây</t>
  </si>
  <si>
    <t>Đứng máy xay phân bò</t>
  </si>
  <si>
    <t>Đứng máy T-O</t>
  </si>
  <si>
    <t>Đứng máy xay T-MB</t>
  </si>
  <si>
    <t>Tưới bãi NVL, tưới đường</t>
  </si>
  <si>
    <t>Lái xe xúc</t>
  </si>
  <si>
    <t>Lái xe múc</t>
  </si>
  <si>
    <t>Lái xe ủi</t>
  </si>
  <si>
    <t>Lái xe Ben</t>
  </si>
  <si>
    <t>Lái xe máy xới</t>
  </si>
  <si>
    <t>Bơm nước</t>
  </si>
  <si>
    <t>Xổ tro, phân bò</t>
  </si>
  <si>
    <t>kéo mở, đậy bạt</t>
  </si>
  <si>
    <t>Đóng date, dán nhãn</t>
  </si>
  <si>
    <t>bao 3dm3</t>
  </si>
  <si>
    <t>bao 5dm3</t>
  </si>
  <si>
    <t>bao 10dm3</t>
  </si>
  <si>
    <t>bao 20dm3</t>
  </si>
  <si>
    <t>bao 40dm3</t>
  </si>
  <si>
    <t>bao 50dm3</t>
  </si>
  <si>
    <t>bao 100dm3</t>
  </si>
  <si>
    <t>bao 25kg</t>
  </si>
  <si>
    <t>Danh mục CV</t>
  </si>
  <si>
    <t>Lái xe</t>
  </si>
  <si>
    <t>Đứng máy sản xuất</t>
  </si>
  <si>
    <t>Công việc khác</t>
  </si>
  <si>
    <t>E</t>
  </si>
  <si>
    <t>Số CN/nhóm</t>
  </si>
  <si>
    <t>SLsx/ CN</t>
  </si>
  <si>
    <t>SLsx ngày/nhóm</t>
  </si>
  <si>
    <t>SLsx 26/nhóm</t>
  </si>
  <si>
    <t>đơngiá</t>
  </si>
  <si>
    <t>bao 50kg</t>
  </si>
  <si>
    <t>bao 40kg</t>
  </si>
  <si>
    <t>bao 35kg</t>
  </si>
  <si>
    <t>ĐÓNG GÓI SẢN PHẨM</t>
  </si>
  <si>
    <t>MNV</t>
  </si>
  <si>
    <t>BỐC XẾP SẢN PHẨM</t>
  </si>
  <si>
    <t>CHẠY XE CƠ GIỚI</t>
  </si>
  <si>
    <t>CÔNG VIỆC KHÁC</t>
  </si>
  <si>
    <t>Xử lý bùn</t>
  </si>
  <si>
    <t>Xử lý bùn Bình Hưng</t>
  </si>
  <si>
    <t>Xử lý bùn Bình Hưng Hòa</t>
  </si>
  <si>
    <t>Xử lý bùn Tân Hóa - Lò gốm</t>
  </si>
  <si>
    <t>Xử lý bùn Duy tu</t>
  </si>
  <si>
    <t>LÁI XE CƠ GIỚI</t>
  </si>
  <si>
    <t>ĐỨNG MÁY SẢN XUẤT</t>
  </si>
  <si>
    <t>XỬ LÝ BÙN</t>
  </si>
  <si>
    <t>bao 0,2kg</t>
  </si>
  <si>
    <t>bao 0,5 kg</t>
  </si>
  <si>
    <t>bao 01kg</t>
  </si>
  <si>
    <t>bao 10kg</t>
  </si>
  <si>
    <t>NHẬT KÝ LÀM VIỆC NHÀ MÁY ĐA PHƯỚC</t>
  </si>
  <si>
    <t>Ngày:</t>
  </si>
  <si>
    <t>CÔNG NHÂN CHẠY XE CƠ GiỚI</t>
  </si>
  <si>
    <t>XE 51C-60324</t>
  </si>
  <si>
    <t>XE 51C-9042</t>
  </si>
  <si>
    <t>XE 51C-7000</t>
  </si>
  <si>
    <t>SỐ NGƯỜI LÀM</t>
  </si>
  <si>
    <t>SỐ PHIẾU</t>
  </si>
  <si>
    <t>SỐ XE</t>
  </si>
  <si>
    <t>stt</t>
  </si>
  <si>
    <t>Số PXK</t>
  </si>
  <si>
    <t>HỌ TÊN NHÂN VIÊN</t>
  </si>
  <si>
    <t>làm kho</t>
  </si>
  <si>
    <t>Làm cỏ</t>
  </si>
  <si>
    <t>Bùn Bình Hưng</t>
  </si>
  <si>
    <t>Bùn Bình Hưng Hòa</t>
  </si>
  <si>
    <t>Danh mục xe</t>
  </si>
  <si>
    <t>HÀNG LINH TINH</t>
  </si>
  <si>
    <t>Làm điện</t>
  </si>
  <si>
    <t>Sửa chữa +phụ sửa xe+ sửa máy khác</t>
  </si>
  <si>
    <t>Trần văn Vị Hoàng</t>
  </si>
  <si>
    <t>Trần Văn Bảo</t>
  </si>
  <si>
    <t>Xe ngoài</t>
  </si>
  <si>
    <t>BX-bao 3dm3</t>
  </si>
  <si>
    <t>BX-bao 5dm3</t>
  </si>
  <si>
    <t>BX-bao 10dm3</t>
  </si>
  <si>
    <t>BX-bao 20dm3</t>
  </si>
  <si>
    <t>BX-bao 40dm3</t>
  </si>
  <si>
    <t>BX-bao 50dm3</t>
  </si>
  <si>
    <t>BX-bao 100dm3</t>
  </si>
  <si>
    <t>BX-bao 0,2kg</t>
  </si>
  <si>
    <t>BX-bao 0,5 kg</t>
  </si>
  <si>
    <t>BX-bao 01kg</t>
  </si>
  <si>
    <t>BX-bao 10kg</t>
  </si>
  <si>
    <t>BX-bao 25kg</t>
  </si>
  <si>
    <t>BX-bao 35kg</t>
  </si>
  <si>
    <t>BX-bao 40kg</t>
  </si>
  <si>
    <t>BX-bao 50kg</t>
  </si>
  <si>
    <t>BX-HÀNG LINH TINH</t>
  </si>
  <si>
    <t>SX-bao 3dm3</t>
  </si>
  <si>
    <t>SX-bao 5dm3</t>
  </si>
  <si>
    <t>SX-bao 10dm3</t>
  </si>
  <si>
    <t>SX-bao 20dm3</t>
  </si>
  <si>
    <t>SX-bao 40dm3</t>
  </si>
  <si>
    <t>SX-bao 50dm3</t>
  </si>
  <si>
    <t>SX-bao 100dm3</t>
  </si>
  <si>
    <t>SX-bao 0,2kg</t>
  </si>
  <si>
    <t>SX-bao 0,5 kg</t>
  </si>
  <si>
    <t>SX-bao 01kg</t>
  </si>
  <si>
    <t>SX-bao 10kg</t>
  </si>
  <si>
    <t>SX-bao 25kg</t>
  </si>
  <si>
    <t>SX-bao 35kg</t>
  </si>
  <si>
    <t>SX-bao 40kg</t>
  </si>
  <si>
    <t>SX-bao 50kg</t>
  </si>
  <si>
    <t>Ngày công lv</t>
  </si>
  <si>
    <t>NGÀY LÀM VIỆC TRONG THÁNG</t>
  </si>
  <si>
    <t>lương CB</t>
  </si>
  <si>
    <t>Giờ tăng ca</t>
  </si>
  <si>
    <t>Làm việc CN</t>
  </si>
  <si>
    <t>Phép, LT có lương</t>
  </si>
  <si>
    <t>LV lễ tết</t>
  </si>
  <si>
    <t>KHO</t>
  </si>
  <si>
    <t>Nguyễn Trường Thạch</t>
  </si>
  <si>
    <t>NV kho</t>
  </si>
  <si>
    <t>Thủ kho</t>
  </si>
  <si>
    <t>XE 54N-7311</t>
  </si>
  <si>
    <t>Tưới bãi NVL, tưới đường, Tưới cây</t>
  </si>
  <si>
    <t>Việc linh tinh khác</t>
  </si>
  <si>
    <t>Triệu Minh Tú</t>
  </si>
  <si>
    <t xml:space="preserve">Triệu Bô Na </t>
  </si>
  <si>
    <t>Phụ Cấp thâm niên</t>
  </si>
  <si>
    <t>Phụ cấp chuyên cần</t>
  </si>
  <si>
    <t>Phụ cấp trách nhiệm</t>
  </si>
  <si>
    <t>Phụ cấp công tác</t>
  </si>
  <si>
    <t>Phụ cấp điện thoại</t>
  </si>
  <si>
    <t>Phụ cấp chuyên môn</t>
  </si>
  <si>
    <t>Ngày vào làm việc</t>
  </si>
  <si>
    <t>Số năm vào làm</t>
  </si>
  <si>
    <t>Giờ tăng ca trong tháng</t>
  </si>
  <si>
    <t>Ngày công</t>
  </si>
  <si>
    <t>Nghỉ hưởng lương</t>
  </si>
  <si>
    <t>Ngày LV</t>
  </si>
  <si>
    <t>Lễ tết</t>
  </si>
  <si>
    <t>Phép</t>
  </si>
  <si>
    <t>CN</t>
  </si>
  <si>
    <t>Ngày thường</t>
  </si>
  <si>
    <t>Chủ nhật</t>
  </si>
  <si>
    <t>Giờ làm việc CN</t>
  </si>
  <si>
    <t>Ngày LV lễ tết</t>
  </si>
  <si>
    <t>Ngày phép, LT có lương</t>
  </si>
  <si>
    <t>Nghỉ việc riêng</t>
  </si>
  <si>
    <t>Nghỉ không phép</t>
  </si>
  <si>
    <t>Nghỉ bệnh</t>
  </si>
  <si>
    <t>Trừ không phép</t>
  </si>
  <si>
    <t>Trừ nghỉ VR</t>
  </si>
  <si>
    <t>Trừ nghỉ NB</t>
  </si>
  <si>
    <t xml:space="preserve">Cộng </t>
  </si>
  <si>
    <t>Bùn Bình TH-LG</t>
  </si>
  <si>
    <t>Bùn Duy Tu</t>
  </si>
  <si>
    <t>Thang 9</t>
  </si>
  <si>
    <t>Thang 10</t>
  </si>
  <si>
    <t>Tiêu chí xây dựng bảng lương</t>
  </si>
  <si>
    <t>- Là công cụ để Công ty quản lý năng suất lao động của người Lao động;</t>
  </si>
  <si>
    <t>- Đi gần nhất với luật lao động, mức lương tối thiểu vùng ...;</t>
  </si>
  <si>
    <t>- Bằng cấp chỉ thể hiện mong muốn của người lao động chứ không thể hiện mưc lương và vị trí làm việc;</t>
  </si>
  <si>
    <t>- Người lao động được hưởng đúng mức năng lực, tài năng thể hiện tại Công ty;</t>
  </si>
  <si>
    <t>- Kiểm soát thời gian làm việc của lao động;</t>
  </si>
  <si>
    <t>- Kiểm soát hiệu quả công việc lao động;</t>
  </si>
  <si>
    <t>- Kiểm soát thực hiện kế hoạch của Công ty/lao động;</t>
  </si>
  <si>
    <t>- Người Lao động chủ động phấn đấu cho thu nhập của chính mình;</t>
  </si>
  <si>
    <t>- Thống kê được chính xác hao phí lao động cho từng đầu công việc để tìm ra được phương pháp quản lý, cải tiến, đầu tư hiệu quả.</t>
  </si>
  <si>
    <t>Hệ thống thang bảng lương</t>
  </si>
  <si>
    <t>1. Tổng Giám đốc, Giám đốc</t>
  </si>
  <si>
    <t>- Áp dụng 09 ngạch lương, ký hiệu từ D.01 đến D.09;</t>
  </si>
  <si>
    <t>- Áp dụng 09 bậc lương, ký hiệu từ 1 đến 9;</t>
  </si>
  <si>
    <t>- Áp dụng 08 nhóm chức danh công việc;</t>
  </si>
  <si>
    <t>Bậc</t>
  </si>
  <si>
    <t>- Bước nhảy mỗi bậc lương:</t>
  </si>
  <si>
    <t>+ Ngạch D.05: bước nhảy là 0,2. Hệ số bắt đầu là 1 tương ứng với bậc 1</t>
  </si>
  <si>
    <t>+ Ngạch D.07: bước nhảy là 0,1. Hệ số bắt đầu là 1 tương ứng với bậc 1</t>
  </si>
  <si>
    <t>Thâm niên làm việc</t>
  </si>
  <si>
    <t>- Người lao động nghỉ việc quay lại làm việc thì thâm niên sẽ được tính thời gian làm việc gần nhất;</t>
  </si>
  <si>
    <t>- Mỗi 12 tháng làm việc liên tiếp sẽ được tính thâm niên là 1 năm làm việc;</t>
  </si>
  <si>
    <t>- Mỗi năm làm việc được hưởng 1%</t>
  </si>
  <si>
    <t>Ngày công làm việc</t>
  </si>
  <si>
    <t>- Ngày công làm việc là tổng số ngày trong tháng trừ đi tổng số ngày chủ nhật trong tháng;</t>
  </si>
  <si>
    <t>- Ngày công làm việc được tính trung bình 26 ngày công/tháng (áp dụng cho các thông số tính TB tháng);</t>
  </si>
  <si>
    <t>Giờ làm việc</t>
  </si>
  <si>
    <t>- Giờ tăng ca được tính sau giờ làm việc Công ty quy định;</t>
  </si>
  <si>
    <t>- Tổng số giờ làm việc trong 1 ngày: 8 giờ;</t>
  </si>
  <si>
    <t>- Tính tiền tăng ca:</t>
  </si>
  <si>
    <t>+ Tăng ca ngày thường = số công tăng ca x 1,5 x lương CB hệ số</t>
  </si>
  <si>
    <t>+ Tăng ca ngày chủ nhật = số công tăng ca x 2 x lương CB hệ số</t>
  </si>
  <si>
    <t>+ Tăng ca ngày lễ, tết = số công tăng ca x 3 x lương CB hệ số</t>
  </si>
  <si>
    <t>Phụ Cấp:</t>
  </si>
  <si>
    <t>7.1</t>
  </si>
  <si>
    <t>7.2</t>
  </si>
  <si>
    <t>7.3</t>
  </si>
  <si>
    <t>7.4</t>
  </si>
  <si>
    <t>7.5</t>
  </si>
  <si>
    <t>8.1</t>
  </si>
  <si>
    <t>Số lượng Sản phẩm sản xuất, xử lý trong  tháng nhân đơn giá theo thông báo của Công ty</t>
  </si>
  <si>
    <t>8.2</t>
  </si>
  <si>
    <t>Số giờ chạy xe nhân đơn giá theo thông báo của Công ty</t>
  </si>
  <si>
    <t>8.3</t>
  </si>
  <si>
    <t>Số giờ lao động/công việc được giao nhân đơn giá theo thông báo của Công ty</t>
  </si>
  <si>
    <t>Lương định mức lao động, sản xuất, kinh doanh</t>
  </si>
  <si>
    <t>8.4</t>
  </si>
  <si>
    <t>Sản xuất, Xử lý trực tiếp</t>
  </si>
  <si>
    <t>Chạy xe cơ giới</t>
  </si>
  <si>
    <t>Làm các công việc không thuộc nhóm trên</t>
  </si>
  <si>
    <t>Giao nhân hàng hóa (hàng bán)</t>
  </si>
  <si>
    <t>8.5</t>
  </si>
  <si>
    <t>Bán hàng</t>
  </si>
  <si>
    <t>Tính bằng số tiền thu về x tỉ lệ theo thông báo của Công ty</t>
  </si>
  <si>
    <t>Tính bằng Doanh thu bán hàng x tỉ lệ % (đối với khu vực Tp.HCM và lân cận)</t>
  </si>
  <si>
    <t>Tính bằng Doanh thu bán hàng x tỉ lệ % (đối với giao hàng Sóng thần)</t>
  </si>
  <si>
    <t>8.6</t>
  </si>
  <si>
    <t>Tính bằng số chuyến chạy x đơn giá chuyến theo thông báo của Công ty</t>
  </si>
  <si>
    <t>+ Mức phụ cấp là: 300.000vnđ</t>
  </si>
  <si>
    <t>+ Cách tính:</t>
  </si>
  <si>
    <t>-Nghỉ có phép việc riêng: 01 ngày trừ 50%; đến 02 ngày trừ 75%; đến 03 ngày trừ 100% phụ cấp chuyên cần;</t>
  </si>
  <si>
    <t>-Nghỉ có phép bệnh: 01 ngày trừ 25%; đến 02 ngày trừ 50%; đến 03 ngày trừ 75%; đến 04 ngày trừ 100% phụ cấp chuyên cần;</t>
  </si>
  <si>
    <t>Phụ cấp chuyên cần = (100% - % bị trừ)* mức phụ cấp</t>
  </si>
  <si>
    <t>- Mức độ khó dễ về khả năng chuyên môn;</t>
  </si>
  <si>
    <t>- Mức độ khan hiếm lao động chuyên môn;</t>
  </si>
  <si>
    <t>- không phụ thuộc vào cấp bậc hay vị trí lãnh đạo;</t>
  </si>
  <si>
    <t>- không duy ý chí theo kiểu: không biết là khó mà biết là dễ;</t>
  </si>
  <si>
    <t>+ Lãnh đạo Công ty sẽ trực tiếp đánh giá và đưa ra mức phụ cấp phù hợp</t>
  </si>
  <si>
    <t>- Là công cụ quản lý và quan đánh giá của Công ty cho từng NV;</t>
  </si>
  <si>
    <t>Tiêu chí:   Trả giá đúng về kiến thức chuyên môn của nhân viên Công ty thuê mướn và theo tiêu chí</t>
  </si>
  <si>
    <t>Phụ Cấp trách nhiệm</t>
  </si>
  <si>
    <t>Bảng tham khảo</t>
  </si>
  <si>
    <t>Phụ Cấp công tác</t>
  </si>
  <si>
    <t>Bảng tham khảo CP cố định</t>
  </si>
  <si>
    <t xml:space="preserve"> + Đặc thù từng bộ phận và vị trí sẽ có quy định riêng theo thông báo</t>
  </si>
  <si>
    <t>Phụ Cấp điện thoại</t>
  </si>
  <si>
    <t>Theo phát sinh</t>
  </si>
  <si>
    <t>Theo mức quy định</t>
  </si>
  <si>
    <t>Phụ Cấp đi lại</t>
  </si>
  <si>
    <t>(ĐVT: 1.000đ)</t>
  </si>
  <si>
    <t>Đánh giá mức độ hoàn thành công việc</t>
  </si>
  <si>
    <t>Áp dụng cho các vị trí làm việc chuyên môn, quản lý</t>
  </si>
  <si>
    <t>+ Tính bằng trừ trên tổng thu nhập 20%</t>
  </si>
  <si>
    <t>Tính theo % hoàn thành công việc</t>
  </si>
  <si>
    <t>Tính theo % thực hiện kế hoạch</t>
  </si>
  <si>
    <t>QL Kinh doanh</t>
  </si>
  <si>
    <t>QL Sản xuất</t>
  </si>
  <si>
    <t>NV chuyên môn</t>
  </si>
  <si>
    <r>
      <t xml:space="preserve">" - Để đánh giá được mức độ hoàn thành công việc được giao cần phải có </t>
    </r>
    <r>
      <rPr>
        <b/>
        <sz val="11"/>
        <color theme="1"/>
        <rFont val="Calibri"/>
        <family val="2"/>
        <scheme val="minor"/>
      </rPr>
      <t>tiêu chí đánh giá mức độ hoàn thành công việc</t>
    </r>
    <r>
      <rPr>
        <sz val="11"/>
        <color theme="1"/>
        <rFont val="Calibri"/>
        <family val="2"/>
        <scheme val="minor"/>
      </rPr>
      <t>;</t>
    </r>
  </si>
  <si>
    <t>Quản lý chuyên môn</t>
  </si>
  <si>
    <t>- Phải xây dựng kế hoạch cụ thể</t>
  </si>
  <si>
    <t>- Các phòng ban làm việc theo kế hoạch</t>
  </si>
  <si>
    <t>- Nâng tầm và kiểm soát các Quản lý của Công ty việc lập kế hoạch, giao việc, thực hiện công việc</t>
  </si>
  <si>
    <t>- Đánh giá đúng được khả năng làm việc, quản lý của nhân viên tránh trường hợp đổ lỗi khi không hoàn thành công việc</t>
  </si>
  <si>
    <t xml:space="preserve">- Tạo ra các cuộc đối thoại, giao tiếp trong công việc để người giao việc và người thực hiện được rõ ràng </t>
  </si>
  <si>
    <t>....."</t>
  </si>
  <si>
    <t>NV87</t>
  </si>
  <si>
    <t>NV88</t>
  </si>
  <si>
    <t>NV89</t>
  </si>
  <si>
    <t>NV90</t>
  </si>
  <si>
    <t>Danh Út</t>
  </si>
  <si>
    <t>Danh Dên</t>
  </si>
  <si>
    <t>SL/h</t>
  </si>
  <si>
    <t>3. Lái xe,  K.thuật viên, Ktoán viên.</t>
  </si>
  <si>
    <t>2. kỹ sư, Giám sát.</t>
  </si>
  <si>
    <t>P</t>
  </si>
  <si>
    <t>tháng 8</t>
  </si>
  <si>
    <t>tháng 7</t>
  </si>
  <si>
    <t>tháng 6</t>
  </si>
  <si>
    <t>tháng 5</t>
  </si>
  <si>
    <t>tháng 1</t>
  </si>
  <si>
    <t>tháng 2</t>
  </si>
  <si>
    <t>tháng 3</t>
  </si>
  <si>
    <t>tháng 4</t>
  </si>
  <si>
    <t>Tổng lương phải trả theo bảng lương cũ</t>
  </si>
  <si>
    <t xml:space="preserve">Tổng khối lượng sx </t>
  </si>
  <si>
    <t>Lương trả theo bảng lương mới</t>
  </si>
  <si>
    <t>Nhận xét</t>
  </si>
  <si>
    <t>Bảng lương mới có số bằng số trung bình cộng của 10 tháng trong năm 2015</t>
  </si>
  <si>
    <t>Một số đối tượng làm nhiều có mức lương tăng lên so với bảng lương cũ và so với các đối tượng làm chung</t>
  </si>
  <si>
    <t>So với sản xuất số lượng tương đương tháng trước thì giờ tăng ca ít hơn.</t>
  </si>
  <si>
    <t>-Nghỉ 0,5 ngày công không bị trừ chuyên cần;</t>
  </si>
  <si>
    <t>-Nghỉ không phép: 01 ngày trừ 100% phụ cấp chuyên cần;</t>
  </si>
  <si>
    <t>+ Ngạch D.01: bước nhảy là 0,5. Hệ số bắt đầu là 2 tương ứng với bậc 1</t>
  </si>
  <si>
    <t>+ Ngạch D.02: bước nhảy là 0,4. Hệ số bắt đầu là 2 tương ứng với bậc 1</t>
  </si>
  <si>
    <t>+ Ngạch D.03: bước nhảy là 0,3. Hệ số bắt đầu là 1,7 tương ứng với bậc 1</t>
  </si>
  <si>
    <t>+ Ngạch D.04: bước nhảy là 0,2. Hệ số bắt đầu là 1,5 tương ứng với bậc 1</t>
  </si>
  <si>
    <t>+ Ngạch D.06: bước nhảy là 0,1. Hệ số bắt đầu là 1 tương ứng với bậc 1</t>
  </si>
  <si>
    <t>+ Ngạch D.08: bước nhảy là 0,05. Hệ số bắt đầu là 1 tương ứng với bậc 1</t>
  </si>
  <si>
    <t>+ Ngạch D.09: bước nhảy là 0,05. Hệ số bắt đầu là 1 tương ứng với bậc 1</t>
  </si>
  <si>
    <t>- Áp dụng mức lương tối thiểu vùng 2016 cho khu vực Tp.HCM là 3.484.400vnđ</t>
  </si>
  <si>
    <r>
      <t xml:space="preserve">Công thức tính: </t>
    </r>
    <r>
      <rPr>
        <b/>
        <i/>
        <sz val="11"/>
        <color theme="1"/>
        <rFont val="Calibri"/>
        <family val="2"/>
        <scheme val="minor"/>
      </rPr>
      <t>Phụ cấp thâm niên = lương CB hệ số x số năm làm việc /100</t>
    </r>
  </si>
  <si>
    <t xml:space="preserve">Thành tiền lương CB </t>
  </si>
  <si>
    <t>Lương Định mức</t>
  </si>
  <si>
    <t>lương vượt định mức</t>
  </si>
  <si>
    <t>CÔNG TY TNHH CÔNG NGHỆ SINH HỌC SÀI GÒN XANH</t>
  </si>
  <si>
    <t>Nhà máy Xử lý Bùn thải Sài Gòn Xanh</t>
  </si>
  <si>
    <t>lương CB hệ số</t>
  </si>
  <si>
    <t>Người lập bảng lương</t>
  </si>
  <si>
    <t>NGÔ THỊ PHAN HIỀN</t>
  </si>
  <si>
    <t>Giám Đốc nhà Máy</t>
  </si>
  <si>
    <t>NGUYỄN VĂN THẢO</t>
  </si>
  <si>
    <t>CỘNG</t>
  </si>
  <si>
    <t>Trừ BHXH</t>
  </si>
  <si>
    <t>Trừ tạm ứng</t>
  </si>
  <si>
    <t>Thực lãnh</t>
  </si>
  <si>
    <t>Trần Văn Hà</t>
  </si>
  <si>
    <t>KTV Môi trường</t>
  </si>
  <si>
    <t>THẺ LƯƠNG</t>
  </si>
  <si>
    <t>NV bảo trì</t>
  </si>
  <si>
    <t>QL xe cơ giới</t>
  </si>
  <si>
    <t>Ký Nhận</t>
  </si>
  <si>
    <t>Ký nhận</t>
  </si>
  <si>
    <t>Tổng Cộng</t>
  </si>
  <si>
    <t>Tièn lương dóng BH</t>
  </si>
  <si>
    <t>Tỷ lệ đóng BH</t>
  </si>
  <si>
    <t>BẢNG LƯƠNG THÁNG 11 /2015</t>
  </si>
  <si>
    <t xml:space="preserve">Phụ cấp </t>
  </si>
  <si>
    <t>Phụ cấp khác</t>
  </si>
  <si>
    <t>Phụ Cấp</t>
  </si>
  <si>
    <t>Ngày: 01</t>
  </si>
  <si>
    <t>Lê Quốc Chương</t>
  </si>
  <si>
    <t>Ngô Hoàng Phong</t>
  </si>
  <si>
    <t>Người lập</t>
  </si>
  <si>
    <t>GIÁM ĐỐC NHÀ MÁY</t>
  </si>
  <si>
    <t>Giám Đốc Nhà máy</t>
  </si>
  <si>
    <t>NV93</t>
  </si>
  <si>
    <t>Nguyễn Huỳnh Luân</t>
  </si>
  <si>
    <t>KT Cơ Khí</t>
  </si>
  <si>
    <t>NV94</t>
  </si>
  <si>
    <t>Châu Văn Phước</t>
  </si>
  <si>
    <t>Nguyễn Ngọc Châu</t>
  </si>
  <si>
    <t>Trần Minh Trung</t>
  </si>
  <si>
    <t>NV Nông nghiệp</t>
  </si>
  <si>
    <t>NV92</t>
  </si>
  <si>
    <t>NV91</t>
  </si>
  <si>
    <t>NV97</t>
  </si>
  <si>
    <t>Nguyễn Văn Chiến</t>
  </si>
  <si>
    <t>Nguyễn Thị Thúy Diễm</t>
  </si>
  <si>
    <t>Vũ Thị loan</t>
  </si>
  <si>
    <t>Trần Duy Cương</t>
  </si>
  <si>
    <t>NV Thống kê</t>
  </si>
  <si>
    <t>NV99</t>
  </si>
  <si>
    <t>NV100</t>
  </si>
  <si>
    <t>NV101</t>
  </si>
  <si>
    <t>NV102</t>
  </si>
  <si>
    <t>Châu Tấn Phát</t>
  </si>
  <si>
    <t>NV103</t>
  </si>
  <si>
    <t>Kim Em</t>
  </si>
  <si>
    <t>XE 51C-  72917</t>
  </si>
  <si>
    <t>BẢNG LƯƠNG THÁNG 02 /2016</t>
  </si>
  <si>
    <t>Ngày phép năm</t>
  </si>
  <si>
    <t>Ngày nghỉ lễ tết</t>
  </si>
  <si>
    <t>NV104</t>
  </si>
  <si>
    <t>NV105</t>
  </si>
  <si>
    <t>NV106</t>
  </si>
  <si>
    <t>NV107</t>
  </si>
  <si>
    <t>NV108</t>
  </si>
  <si>
    <t>Nguyễn Thành Vân</t>
  </si>
  <si>
    <t>Nguyễn Thành Tài</t>
  </si>
  <si>
    <t>Nguyễn Thành Long</t>
  </si>
  <si>
    <t>NV109</t>
  </si>
  <si>
    <t>Cao Chánh Dũng</t>
  </si>
  <si>
    <t>Võ Văn Giàu</t>
  </si>
  <si>
    <t>NV110</t>
  </si>
  <si>
    <t>NV111</t>
  </si>
  <si>
    <t>NV112</t>
  </si>
  <si>
    <t>NV113</t>
  </si>
  <si>
    <t>NV114</t>
  </si>
  <si>
    <t>NV115</t>
  </si>
  <si>
    <t>NV116</t>
  </si>
  <si>
    <t>NV117</t>
  </si>
  <si>
    <t>NV118</t>
  </si>
  <si>
    <t>Lê Phi Thành</t>
  </si>
  <si>
    <t>Lê Phi Trung</t>
  </si>
  <si>
    <t>Huỳnh Văn Phương</t>
  </si>
  <si>
    <t>Lâm Văn Thương</t>
  </si>
  <si>
    <t>Trần Minh Hoàng</t>
  </si>
  <si>
    <t>Thạch Phương</t>
  </si>
  <si>
    <t>Nguyễn Văn Rắng</t>
  </si>
  <si>
    <t>Nguyễn Văn Hiền</t>
  </si>
  <si>
    <t>Võ Văn Có</t>
  </si>
  <si>
    <t>NV119</t>
  </si>
  <si>
    <t>NV120</t>
  </si>
  <si>
    <t>Trần Quốc Nam</t>
  </si>
  <si>
    <t>Lê Tấn Thắng</t>
  </si>
  <si>
    <t>NV121</t>
  </si>
  <si>
    <t>Hồ Tuấn Vũ</t>
  </si>
  <si>
    <t>NV122</t>
  </si>
  <si>
    <t>NV123</t>
  </si>
  <si>
    <t>Vũ Sỹ Thương</t>
  </si>
  <si>
    <t>Võ Minh Vũ</t>
  </si>
  <si>
    <t>PHỤ CẤP</t>
  </si>
  <si>
    <t>CÔNG TY TNHH CNSH SÀI GÒN XANH</t>
  </si>
  <si>
    <t>HỆ THỐNG THANG LƯƠNG, BẢNG LƯƠNG</t>
  </si>
  <si>
    <t>I/ MỨC LƯƠNG TỐI THIỂU:</t>
  </si>
  <si>
    <t>Mức lương tối thiểu mà doanh nghiệp đang áp dụng:</t>
  </si>
  <si>
    <t>đồng/tháng</t>
  </si>
  <si>
    <t>II/ HỆ THỐNG THANG LƯƠNG:</t>
  </si>
  <si>
    <t>ĐVT:  đồng</t>
  </si>
  <si>
    <t>1- BẢNG LƯƠNG CHỨC VỤ QUẢN LÝ DOANH NGHIỆP</t>
  </si>
  <si>
    <t>CHỨC DANH CÔNG VIỆC</t>
  </si>
  <si>
    <t>MÃ SỐ</t>
  </si>
  <si>
    <t>BẬC/ HỆ SỐ/ MỨC LƯƠNG</t>
  </si>
  <si>
    <t xml:space="preserve">01- TỔNG GIÁM ĐỐC </t>
  </si>
  <si>
    <t>C.01</t>
  </si>
  <si>
    <t>02- PHÓ TỔNG GIÁM ĐỐC/ GĐ ĐIỀU HÀNH</t>
  </si>
  <si>
    <t>C.02</t>
  </si>
  <si>
    <t>03- KẾ TOÁN TRƯỞNG/ Q.GIÁM ĐỐC / TRƯỞNG BAN</t>
  </si>
  <si>
    <t>C.03</t>
  </si>
  <si>
    <t>2- BẢNG LƯƠNG VIÊN CHỨC CHUYÊN MÔN, THỪA HÀNH, PHỤC VỤ</t>
  </si>
  <si>
    <t>01- CHUYÊN GIA CAO CẤP/ NGHỆ NHÂN</t>
  </si>
  <si>
    <t>02- TRƯỞNG BỘ PHẬN, KẾ TOÁN TỔNG HỢP, CHUYÊN VIÊN</t>
  </si>
  <si>
    <t>03- KẾ TOÁN VIÊN, NV HCNS, THỦ QUỸ, NV KỸ THUẬT ...</t>
  </si>
  <si>
    <t>04- NV KINH DOANH/ SALE ADMIN</t>
  </si>
  <si>
    <t>05- VĂN THƯ, LỄ TÂN</t>
  </si>
  <si>
    <t>3- BẢNG LƯƠNG NHÂN VIÊN TRỰC TIẾP SẢN XUẤT KINH DOANH VÀ PHỤC VỤ</t>
  </si>
  <si>
    <t>01- TỔ TRƯỞNG, NV KHO, GIÁM SÁT NHÀ MÁY</t>
  </si>
  <si>
    <t>B.01</t>
  </si>
  <si>
    <t>02- TÀI XẾ XE CƠ GIỚI, CÔNG NHÂN KT</t>
  </si>
  <si>
    <t>B.02</t>
  </si>
  <si>
    <t>03- TÀI XẾ PHUC VU KINH DOANH</t>
  </si>
  <si>
    <t>B.03</t>
  </si>
  <si>
    <t>04- PHỤ XE CÓ TAY NGHỀ (Lái xe được)</t>
  </si>
  <si>
    <t>B.04</t>
  </si>
  <si>
    <t>05- TẠP VỤ, BẢO VỆ; CÔNG NHÂN SX</t>
  </si>
  <si>
    <t>B.05</t>
  </si>
  <si>
    <t>06- BỐC XẾP, PHỤ XE KINH DOANH</t>
  </si>
  <si>
    <t>B.06</t>
  </si>
  <si>
    <t>VALUE</t>
  </si>
  <si>
    <t>KOBE</t>
  </si>
  <si>
    <t>CŨ</t>
  </si>
  <si>
    <t>lương CB hệ số mới</t>
  </si>
  <si>
    <t>Đơn giá cũ</t>
  </si>
  <si>
    <t>SỐ THÁNG</t>
  </si>
  <si>
    <t>HỆ SỐ</t>
  </si>
  <si>
    <t>3 năm đầu ko tăng, bắt đầu năm thứ 4 sẽ có thâm niên 3%, thêm 1 năm tăng 1%</t>
  </si>
  <si>
    <t>Số tháng thâm niên</t>
  </si>
  <si>
    <t>Hệ số thâm niên</t>
  </si>
  <si>
    <t>Phụ cấp thâm niên MỚI</t>
  </si>
  <si>
    <t>Tổng thu nhập cách MỚI</t>
  </si>
  <si>
    <t>ĐỨNG MÁY SX</t>
  </si>
  <si>
    <r>
      <t xml:space="preserve">Lái xe xúc </t>
    </r>
    <r>
      <rPr>
        <b/>
        <sz val="11"/>
        <color theme="1"/>
        <rFont val="Calibri"/>
        <family val="2"/>
        <scheme val="minor"/>
      </rPr>
      <t>1-1.5m3</t>
    </r>
  </si>
  <si>
    <r>
      <t xml:space="preserve">Lái xe múc </t>
    </r>
    <r>
      <rPr>
        <b/>
        <sz val="11"/>
        <color theme="1"/>
        <rFont val="Calibri"/>
        <family val="2"/>
        <scheme val="minor"/>
      </rPr>
      <t>&lt; 0.5</t>
    </r>
  </si>
  <si>
    <r>
      <t xml:space="preserve">Lái xe ủi </t>
    </r>
    <r>
      <rPr>
        <b/>
        <sz val="11"/>
        <color theme="1"/>
        <rFont val="Calibri"/>
        <family val="2"/>
        <scheme val="minor"/>
      </rPr>
      <t>&lt; D3</t>
    </r>
  </si>
  <si>
    <r>
      <t xml:space="preserve">Lái xe Ben </t>
    </r>
    <r>
      <rPr>
        <b/>
        <sz val="11"/>
        <color theme="1"/>
        <rFont val="Calibri"/>
        <family val="2"/>
        <scheme val="minor"/>
      </rPr>
      <t>&lt; 5tấn</t>
    </r>
  </si>
  <si>
    <r>
      <t xml:space="preserve">Lái xe máy cày </t>
    </r>
    <r>
      <rPr>
        <b/>
        <sz val="11"/>
        <color theme="1"/>
        <rFont val="Calibri"/>
        <family val="2"/>
        <scheme val="minor"/>
      </rPr>
      <t>&lt;</t>
    </r>
  </si>
  <si>
    <r>
      <t xml:space="preserve">Lái xe máy xới </t>
    </r>
    <r>
      <rPr>
        <b/>
        <sz val="11"/>
        <color theme="1"/>
        <rFont val="Calibri"/>
        <family val="2"/>
        <scheme val="minor"/>
      </rPr>
      <t>&lt;</t>
    </r>
  </si>
  <si>
    <r>
      <t xml:space="preserve">Lái xe ủi </t>
    </r>
    <r>
      <rPr>
        <b/>
        <sz val="11"/>
        <color theme="1"/>
        <rFont val="Calibri"/>
        <family val="2"/>
        <scheme val="minor"/>
      </rPr>
      <t>&gt; D3</t>
    </r>
  </si>
  <si>
    <r>
      <t xml:space="preserve">Lái xe Ben </t>
    </r>
    <r>
      <rPr>
        <b/>
        <sz val="11"/>
        <color theme="1"/>
        <rFont val="Calibri"/>
        <family val="2"/>
        <scheme val="minor"/>
      </rPr>
      <t>&gt; 5tấn</t>
    </r>
  </si>
  <si>
    <r>
      <t>Lái xe máy xới</t>
    </r>
    <r>
      <rPr>
        <b/>
        <sz val="11"/>
        <color theme="1"/>
        <rFont val="Calibri"/>
        <family val="2"/>
        <scheme val="minor"/>
      </rPr>
      <t xml:space="preserve"> &gt;</t>
    </r>
  </si>
  <si>
    <r>
      <t>Lái xe múc</t>
    </r>
    <r>
      <rPr>
        <b/>
        <sz val="11"/>
        <color theme="1"/>
        <rFont val="Calibri"/>
        <family val="2"/>
        <scheme val="minor"/>
      </rPr>
      <t xml:space="preserve">  0.5 - 1.2</t>
    </r>
  </si>
  <si>
    <r>
      <t xml:space="preserve">Lái xe xúc </t>
    </r>
    <r>
      <rPr>
        <b/>
        <sz val="11"/>
        <color theme="1"/>
        <rFont val="Calibri"/>
        <family val="2"/>
        <scheme val="minor"/>
      </rPr>
      <t>&gt; 1.5m3</t>
    </r>
  </si>
  <si>
    <r>
      <t xml:space="preserve">Lái xe múc </t>
    </r>
    <r>
      <rPr>
        <b/>
        <sz val="11"/>
        <color theme="1"/>
        <rFont val="Calibri"/>
        <family val="2"/>
        <scheme val="minor"/>
      </rPr>
      <t>&gt; 1.2</t>
    </r>
  </si>
  <si>
    <t>TỔNG PHỤ CẤP MỚI</t>
  </si>
  <si>
    <t>Lương đóng BHXH</t>
  </si>
  <si>
    <t>Đơn giá mới</t>
  </si>
  <si>
    <t>% thâm niên</t>
  </si>
  <si>
    <t>Thực lãnh
( Tròn Số )</t>
  </si>
  <si>
    <t>Trần Văn Phi</t>
  </si>
  <si>
    <t>Lê Văn Triệu</t>
  </si>
  <si>
    <t>Đồng Tấn Tài</t>
  </si>
  <si>
    <t>Tổng Giám đốc</t>
  </si>
  <si>
    <t>HỌ TÊN</t>
  </si>
  <si>
    <t>NĂM 2016</t>
  </si>
  <si>
    <t>Ngày vào</t>
  </si>
  <si>
    <t>Thưởng Lễ</t>
  </si>
  <si>
    <t>Trần Văn Trung</t>
  </si>
  <si>
    <t>Cơm KD</t>
  </si>
  <si>
    <t>Cơm SX</t>
  </si>
  <si>
    <t>Tiền cơm 
( SX )</t>
  </si>
  <si>
    <t>Tiền cơm 
( KD )</t>
  </si>
  <si>
    <t>Tiền cơm (KD )</t>
  </si>
  <si>
    <t>Tiền cơm (SX)</t>
  </si>
  <si>
    <t>Lê Minh Trọng</t>
  </si>
  <si>
    <t>Sơn Hoàng Minh</t>
  </si>
  <si>
    <t>Trần Văn Tây</t>
  </si>
  <si>
    <t>Phan Lâm Thương</t>
  </si>
  <si>
    <t>Công nhân  (TX )</t>
  </si>
  <si>
    <t>Lê Minh Nghĩa</t>
  </si>
  <si>
    <t>XE 51C-83149</t>
  </si>
  <si>
    <t>XE 51C-9356</t>
  </si>
  <si>
    <t>Bùi Vương Ly Ly</t>
  </si>
  <si>
    <t>Tổng cộng</t>
  </si>
  <si>
    <t>Danh Thủy</t>
  </si>
  <si>
    <t>TỒNG
2016</t>
  </si>
  <si>
    <t>01/03/2015</t>
  </si>
  <si>
    <t>05/09/2016</t>
  </si>
  <si>
    <t>Trần Văn Nguyện</t>
  </si>
  <si>
    <t>01/06/2016</t>
  </si>
  <si>
    <t>07/06/2016</t>
  </si>
  <si>
    <t>08/06/2016</t>
  </si>
  <si>
    <t xml:space="preserve"> TĂNG CA TỪ 3 TIẾNG TRỞ LÊN MỚI TÍNH 1 SUẤT CƠM
 BỐC HÀNG XE KINH DOANH ĐIỀN VÀO CỘT CƠM KD, CÒN LẠI THÌ ĐIỀN VÀO CƠM SX</t>
  </si>
  <si>
    <t>NGUYỄN VĂN BẢY</t>
  </si>
  <si>
    <t>KẾ HOẠCH XỬ LÝ</t>
  </si>
  <si>
    <t>TÀI XẾ</t>
  </si>
  <si>
    <t>Triệu Minh Tú</t>
  </si>
  <si>
    <t>VỆ SINH TƯỚI ĐƯỜNG</t>
  </si>
  <si>
    <t>TRUNG TÂM NC</t>
  </si>
  <si>
    <t>TTNC</t>
  </si>
  <si>
    <t>TRUNG TÂM NGHIÊN CỨU</t>
  </si>
  <si>
    <t>Lâm Bal</t>
  </si>
  <si>
    <t>Nguyễn Thế Lực</t>
  </si>
  <si>
    <t>Huỳnh Huy Phụng</t>
  </si>
  <si>
    <t>NĂM 2017</t>
  </si>
  <si>
    <t>TỒNG
2017</t>
  </si>
  <si>
    <t>Võ Quang Tuấn</t>
  </si>
  <si>
    <t>Lương Minh Tâm</t>
  </si>
  <si>
    <t>Danh Vươl</t>
  </si>
  <si>
    <t>GĐ.TTNC</t>
  </si>
  <si>
    <t>Mai Thanh Điền</t>
  </si>
  <si>
    <t>Trần Tấn Hoàng</t>
  </si>
  <si>
    <t>Nguyễn Bình Luận</t>
  </si>
  <si>
    <t>Thái Minh Tân</t>
  </si>
  <si>
    <t>Nguyễn Thanh Sang</t>
  </si>
  <si>
    <t>Nguyễn Hữu Tài</t>
  </si>
  <si>
    <t>Hà Thanh Truyền</t>
  </si>
  <si>
    <t>Nguyễn Tấn Lộc</t>
  </si>
  <si>
    <t>Lương Minh Hòa</t>
  </si>
  <si>
    <t>Lê Thành Tín</t>
  </si>
  <si>
    <t>Đổng Ngọc Trung</t>
  </si>
  <si>
    <t>LÊ THANH HUY</t>
  </si>
  <si>
    <t>Trần văn Nguyện</t>
  </si>
  <si>
    <t>Lái xe múc (Xe Kobel)</t>
  </si>
  <si>
    <t>Nguyễn Tiến Khanh</t>
  </si>
  <si>
    <t>Cao Thị Minh Thoa</t>
  </si>
  <si>
    <t xml:space="preserve"> </t>
  </si>
  <si>
    <t xml:space="preserve">TỔNG CỘNG: </t>
  </si>
  <si>
    <t>NGƯỜI LẬP</t>
  </si>
  <si>
    <t>Nguyễn Thị Thu Sương</t>
  </si>
  <si>
    <t>Nguyễn Hữu Tài - Kho</t>
  </si>
  <si>
    <t>TỒNG
2018</t>
  </si>
  <si>
    <t>NĂM 2018</t>
  </si>
  <si>
    <t>Phan Văn Bạn</t>
  </si>
  <si>
    <t>Nguyễn Văn Lâm</t>
  </si>
  <si>
    <t>Nguyễn Văn Mèo</t>
  </si>
  <si>
    <t>Công nhân</t>
  </si>
  <si>
    <t>VẬN HÀNH MÁY</t>
  </si>
  <si>
    <t>Lê Văn Bi</t>
  </si>
  <si>
    <t>Tạ Chí Thuận</t>
  </si>
  <si>
    <t>Lê Hiệp</t>
  </si>
  <si>
    <t>Lê Tấn Tiền</t>
  </si>
  <si>
    <t>Phạm Hồng Chương</t>
  </si>
  <si>
    <t>Nguyễn Thanh Vạn</t>
  </si>
  <si>
    <t>Thạch Phiên</t>
  </si>
  <si>
    <t>Trần Anh Dũ</t>
  </si>
  <si>
    <t>GIÁM ĐỐC BỘ PHẬN</t>
  </si>
  <si>
    <t>Châu Văn Tâm</t>
  </si>
  <si>
    <t>Trần Ngọc Sơn</t>
  </si>
  <si>
    <t>Cao Văn Lượm</t>
  </si>
  <si>
    <t>Nguyễn Văn Đức</t>
  </si>
  <si>
    <t>Nguyễn Đăng Khoa</t>
  </si>
  <si>
    <t>Ứng lương</t>
  </si>
  <si>
    <t>CƠ GIỚI - CƠ KHÍ</t>
  </si>
  <si>
    <t>Tổ trưởng bảo trì cơ điện</t>
  </si>
  <si>
    <t>Tổ phó bảo trì</t>
  </si>
  <si>
    <t>Nhân viên bảo trì cơ khí</t>
  </si>
  <si>
    <t>Tổ trưởng Điện - Cơ điện</t>
  </si>
  <si>
    <t>Nhân viên Điện - Cơ điện</t>
  </si>
  <si>
    <t>Bình Hưng</t>
  </si>
  <si>
    <t>VH máy sàngTân Hóa</t>
  </si>
  <si>
    <t>VH máy ĐS &amp; PB</t>
  </si>
  <si>
    <t>AN NINH</t>
  </si>
  <si>
    <t>Đặng Văn Thông</t>
  </si>
  <si>
    <t>Trưởng BP An Ninh</t>
  </si>
  <si>
    <t>GS Vườn rau</t>
  </si>
  <si>
    <t>KỸ THUẬT</t>
  </si>
  <si>
    <t>VH máy duy tu</t>
  </si>
  <si>
    <t>Lái xe nâng</t>
  </si>
  <si>
    <t>Vận hành xe xúc BH</t>
  </si>
  <si>
    <t>Nguyễn Thành Luân</t>
  </si>
  <si>
    <t>CV bảo trì cơ khí, cơ giới</t>
  </si>
  <si>
    <t>Nguyễn Công Thuận</t>
  </si>
  <si>
    <t>Nguyễn Lê Tân</t>
  </si>
  <si>
    <t>Tổ trưởng VHM XLB</t>
  </si>
  <si>
    <t>Đội trưởng VHM XLB</t>
  </si>
  <si>
    <t>Tổ trưởng CN Xổ bao bùn</t>
  </si>
  <si>
    <t>VHM</t>
  </si>
  <si>
    <t>VỆ SINH - MÔI TRƯỜNG</t>
  </si>
  <si>
    <t>Trường BP GS Môi trường</t>
  </si>
  <si>
    <t>Lê Ngọc Đức</t>
  </si>
  <si>
    <t>Bùi Văn Ây</t>
  </si>
  <si>
    <t>Đội trưởng XLB</t>
  </si>
  <si>
    <t>QGĐ. HCNS</t>
  </si>
  <si>
    <t>QGĐ.TCKT</t>
  </si>
  <si>
    <t>NGUYỄN ĐỖ QUỲNH PHƯƠNG</t>
  </si>
  <si>
    <t>CAO THỊ MINH THOA</t>
  </si>
  <si>
    <t>TỒNG
2019</t>
  </si>
  <si>
    <t>TB ATLĐ</t>
  </si>
  <si>
    <t>Nhà máy</t>
  </si>
  <si>
    <t>Đặng Hải Bằng</t>
  </si>
  <si>
    <t>Nguyễn Tuấn Vinh</t>
  </si>
  <si>
    <t>Dương Tấn Đạt</t>
  </si>
  <si>
    <t>Lê Nhật Trường Giang</t>
  </si>
  <si>
    <t>Trần Thanh Nguyên</t>
  </si>
  <si>
    <t>Thưởng lễ, tết</t>
  </si>
  <si>
    <t>Đinh Thanh Trí</t>
  </si>
  <si>
    <t>Nhân viên VH Trạm XLNT</t>
  </si>
  <si>
    <t>NCUD</t>
  </si>
  <si>
    <t>Đào Ngọc Long</t>
  </si>
  <si>
    <t>Nguyễn Ngọc Đông</t>
  </si>
  <si>
    <t>Nguyễn Trung Hậu</t>
  </si>
  <si>
    <t>Trưởng BP KHSX</t>
  </si>
  <si>
    <t>Trưởng BP Cơ giới</t>
  </si>
  <si>
    <t>Trưởng BP QC</t>
  </si>
  <si>
    <t>Nhân viên QC inline</t>
  </si>
  <si>
    <t>Tổ trưởng xe cơ giới</t>
  </si>
  <si>
    <t>XDCB</t>
  </si>
  <si>
    <t>SẢN XUẤT</t>
  </si>
  <si>
    <t>Nguyễn Minh Hoàn</t>
  </si>
  <si>
    <t>Ngô Hoàng Oanh</t>
  </si>
  <si>
    <t>Trần Văn Mơ</t>
  </si>
  <si>
    <t>Nguyễn Đức Hân</t>
  </si>
  <si>
    <t>Thủ kho Thành phẩm</t>
  </si>
  <si>
    <t>Nhân viên kho</t>
  </si>
  <si>
    <t>Phụ Kho</t>
  </si>
  <si>
    <t>Thống kê số liệu</t>
  </si>
  <si>
    <t>Nhân viên Kho</t>
  </si>
  <si>
    <t>Thủ kho NVL</t>
  </si>
  <si>
    <t>Nhân viên Trạm cân</t>
  </si>
  <si>
    <t>Lê Thị Duyên</t>
  </si>
  <si>
    <t>Trần Minh Tâm</t>
  </si>
  <si>
    <t>Nguyễn Hữu Thái</t>
  </si>
  <si>
    <t>Nhân viên thống kê</t>
  </si>
  <si>
    <t>Trưởng phòng Quản trị sản xuất</t>
  </si>
  <si>
    <t>QUẢN TRỊ SẢN XUẤT</t>
  </si>
  <si>
    <t>THỐNG KÊ</t>
  </si>
  <si>
    <t>Thạch Ngọc Thắng</t>
  </si>
  <si>
    <t>Thạch Ngọc Tiến</t>
  </si>
  <si>
    <t>Đặng Văn Luân</t>
  </si>
  <si>
    <t>Thủ kho Bùn</t>
  </si>
  <si>
    <t>Nguyễn Thành Khương</t>
  </si>
  <si>
    <t>Nguyễn Duy Kha</t>
  </si>
  <si>
    <t>Chuyên viên Kỹ thuật cải tiến</t>
  </si>
  <si>
    <t>Nhân viên Thiết kế máy</t>
  </si>
  <si>
    <t>CẢI TIẾN - THIẾT KẾ MÁY</t>
  </si>
  <si>
    <t>THEO DÕI PHÉP NĂM NHÀ MÁY XLBT SÀI CÒN XANH</t>
  </si>
  <si>
    <t>NCKH</t>
  </si>
  <si>
    <t>Nguyễn Trần Duy Anh</t>
  </si>
  <si>
    <t>Nguyễn Duy Long</t>
  </si>
  <si>
    <t>Chau Ri Na</t>
  </si>
  <si>
    <t>Che Thanh Thân</t>
  </si>
  <si>
    <t>Trưởng BP Thiết kế Kỹ thuật</t>
  </si>
  <si>
    <t>Trưởng BP Giám sát Kỹ thuật</t>
  </si>
  <si>
    <t>Nhân viên thiết kế</t>
  </si>
  <si>
    <t>Nhân viên KCS</t>
  </si>
  <si>
    <t>Chuyên viên GS Kỹ thuật</t>
  </si>
  <si>
    <t>Lương Trường Giang</t>
  </si>
  <si>
    <t>Bùi Trọng Nghĩa</t>
  </si>
  <si>
    <t>Danh Ngòi</t>
  </si>
  <si>
    <t>Phan Thanh Minh</t>
  </si>
  <si>
    <t>Nguyễn Thanh Hùng</t>
  </si>
  <si>
    <t>Nguyễn Đình Tâm</t>
  </si>
  <si>
    <t>Lê Đình Tiến</t>
  </si>
  <si>
    <t>Đỗ Sỹ Long</t>
  </si>
  <si>
    <t>Phạm Thành Nhân</t>
  </si>
  <si>
    <t>Tr BP Thống kê</t>
  </si>
  <si>
    <t>HCNS</t>
  </si>
  <si>
    <t>Phùng Nhật Nam</t>
  </si>
  <si>
    <t>Tiền trừ nhầm BHXH tháng 6</t>
  </si>
  <si>
    <t>Cộng tiền trừ nhầm tháng trước</t>
  </si>
  <si>
    <t>Biogas</t>
  </si>
  <si>
    <t>DANH SÁCH ỨNG LƯƠNG T08/2019</t>
  </si>
  <si>
    <t>Lê Minh Đức Thịnh</t>
  </si>
  <si>
    <t>Trưởng ban XDCB</t>
  </si>
  <si>
    <t>Đỗ Hoàng Dũng</t>
  </si>
  <si>
    <t>Nhân viên điều phối đơn hàng</t>
  </si>
  <si>
    <t>P.TGĐ</t>
  </si>
  <si>
    <t>KH - VT</t>
  </si>
  <si>
    <t>Chuyên viên thu mua</t>
  </si>
  <si>
    <t>Phan Hồng Chương</t>
  </si>
  <si>
    <t>Tổ trưởng Vệ sinh</t>
  </si>
  <si>
    <t>Nguyễn Văn Chương</t>
  </si>
  <si>
    <t>Bùi Trong Nghĩa</t>
  </si>
  <si>
    <t>Bùi Văn Ấy</t>
  </si>
  <si>
    <t>BẢNG LƯƠNG THÁNG 08/2019</t>
  </si>
  <si>
    <t>BẢNG CÔNG NHÀ MÁY SGX THÁNG 09 NĂM 2019</t>
  </si>
  <si>
    <t>BẢNG CHẤM CÔNG NGOÀI GIỜ THÁNG 09/2019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</si>
</sst>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₫_-;\-* #,##0.00\ _₫_-;_-* &quot;-&quot;??\ _₫_-;_-@_-"/>
    <numFmt numFmtId="165" formatCode="_(* #,##0.0_);_(* \(#,##0.0\);_(* &quot;-&quot;??_);_(@_)"/>
    <numFmt numFmtId="166" formatCode="_(* #,##0_);_(* \(#,##0\);_(* &quot;-&quot;??_);_(@_)"/>
    <numFmt numFmtId="167" formatCode="#,##0.000;\-#,##0.000"/>
    <numFmt numFmtId="168" formatCode="#,##0;\-#,##0"/>
    <numFmt numFmtId="169" formatCode="_(* #,##0.000_);_(* \(#,##0.000\);_(* &quot;-&quot;??_);_(@_)"/>
    <numFmt numFmtId="170" formatCode="_(* #,##0.0000_);_(* \(#,##0.0000\);_(* &quot;-&quot;??_);_(@_)"/>
    <numFmt numFmtId="171" formatCode="_(* #,##0.00000000_);_(* \(#,##0.00000000\);_(* &quot;-&quot;??_);_(@_)"/>
    <numFmt numFmtId="172" formatCode="_(* #,##0.00000_);_(* \(#,##0.00000\);_(* &quot;-&quot;??_);_(@_)"/>
    <numFmt numFmtId="173" formatCode="_-* #,##0\ _₫_-;\-* #,##0\ _₫_-;_-* &quot;-&quot;??\ _₫_-;_-@_-"/>
    <numFmt numFmtId="174" formatCode="_-* #,##0.000\ _₫_-;\-* #,##0.000\ _₫_-;_-* &quot;-&quot;???\ _₫_-;_-@_-"/>
    <numFmt numFmtId="175" formatCode="0.0"/>
    <numFmt numFmtId="176" formatCode="#,##0.0"/>
    <numFmt numFmtId="177" formatCode="_(* #,##0.0_);_(* \(#,##0.0\);_(* &quot;-&quot;?_);_(@_)"/>
  </numFmts>
  <fonts count="9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VNI-Times"/>
    </font>
    <font>
      <b/>
      <sz val="9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9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name val="VNI-Aptima"/>
    </font>
    <font>
      <sz val="10"/>
      <name val="Tahoma"/>
      <family val="2"/>
    </font>
    <font>
      <i/>
      <sz val="10"/>
      <name val="VNI-Aptima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Tahoma"/>
      <family val="2"/>
    </font>
    <font>
      <sz val="8"/>
      <color theme="1"/>
      <name val="Tahoma"/>
      <family val="2"/>
    </font>
    <font>
      <b/>
      <sz val="10"/>
      <color theme="3" tint="-0.499984740745262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Tahoma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name val="Tahoma"/>
      <family val="2"/>
    </font>
    <font>
      <sz val="11"/>
      <color rgb="FFC00000"/>
      <name val="Calibri"/>
      <family val="2"/>
      <scheme val="minor"/>
    </font>
    <font>
      <sz val="9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9"/>
      <color rgb="FFC00000"/>
      <name val="Tahoma"/>
      <family val="2"/>
    </font>
    <font>
      <sz val="9"/>
      <name val="VNI-Helve-Condense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VNI-Times"/>
    </font>
    <font>
      <sz val="11"/>
      <name val="Tahoma"/>
      <family val="2"/>
    </font>
    <font>
      <b/>
      <sz val="11"/>
      <color rgb="FFFF0000"/>
      <name val="Calibri"/>
      <family val="2"/>
      <scheme val="minor"/>
    </font>
    <font>
      <b/>
      <sz val="9"/>
      <color theme="0"/>
      <name val="Tahoma"/>
      <family val="2"/>
    </font>
    <font>
      <b/>
      <sz val="16"/>
      <color theme="1"/>
      <name val="Tahoma"/>
      <family val="2"/>
    </font>
    <font>
      <b/>
      <sz val="9"/>
      <color rgb="FFC00000"/>
      <name val="Tahoma"/>
      <family val="2"/>
    </font>
    <font>
      <b/>
      <sz val="11"/>
      <color rgb="FFC00000"/>
      <name val="Tahoma"/>
      <family val="2"/>
    </font>
    <font>
      <b/>
      <sz val="9"/>
      <color rgb="FFC00000"/>
      <name val="VNI-Helve-Condense"/>
    </font>
    <font>
      <sz val="11"/>
      <color rgb="FFC00000"/>
      <name val="Tahoma"/>
      <family val="2"/>
    </font>
    <font>
      <sz val="10"/>
      <color indexed="8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FF0000"/>
      <name val="Tahoma"/>
      <family val="2"/>
    </font>
    <font>
      <b/>
      <sz val="16"/>
      <name val="Tahoma"/>
      <family val="2"/>
    </font>
    <font>
      <b/>
      <sz val="9"/>
      <name val="VNI-Helve-Condense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11"/>
      <color theme="0"/>
      <name val="Tahoma"/>
      <family val="2"/>
    </font>
    <font>
      <b/>
      <sz val="16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u/>
      <sz val="11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ahoma"/>
      <family val="2"/>
    </font>
    <font>
      <sz val="11"/>
      <name val="Times New Roman"/>
      <family val="1"/>
    </font>
    <font>
      <sz val="11"/>
      <color indexed="8"/>
      <name val="VNI-Times"/>
    </font>
    <font>
      <sz val="11"/>
      <color indexed="8"/>
      <name val="Calibri"/>
      <family val="2"/>
      <charset val="163"/>
    </font>
    <font>
      <b/>
      <sz val="9"/>
      <color theme="1"/>
      <name val="Tahoma"/>
      <family val="2"/>
    </font>
    <font>
      <sz val="12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FF0000"/>
      <name val="Times New Roman"/>
      <family val="1"/>
    </font>
    <font>
      <b/>
      <sz val="18"/>
      <name val="Times New Roman"/>
      <family val="1"/>
    </font>
    <font>
      <b/>
      <sz val="9"/>
      <name val="Calibri"/>
      <family val="2"/>
      <scheme val="minor"/>
    </font>
    <font>
      <sz val="12"/>
      <name val="VNI-Aptima"/>
    </font>
    <font>
      <sz val="12"/>
      <name val="VNI-Times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92D05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Tahoma"/>
      <family val="2"/>
    </font>
    <font>
      <b/>
      <sz val="10"/>
      <color rgb="FFFF0000"/>
      <name val="Tahoma"/>
      <family val="2"/>
    </font>
  </fonts>
  <fills count="3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D3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9"/>
        <bgColor indexed="26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 style="thin">
        <color indexed="58"/>
      </right>
      <top style="hair">
        <color indexed="58"/>
      </top>
      <bottom style="hair">
        <color indexed="5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thin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thin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1">
    <xf numFmtId="0" fontId="0" fillId="0" borderId="0"/>
    <xf numFmtId="43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164" fontId="65" fillId="0" borderId="0" applyFont="0" applyFill="0" applyBorder="0" applyAlignment="0" applyProtection="0"/>
    <xf numFmtId="0" fontId="80" fillId="0" borderId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80" fillId="0" borderId="0" applyFon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43" fontId="3" fillId="0" borderId="0" applyFont="0" applyFill="0" applyBorder="0" applyAlignment="0" applyProtection="0"/>
    <xf numFmtId="0" fontId="3" fillId="0" borderId="0"/>
  </cellStyleXfs>
  <cellXfs count="106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4" xfId="2" applyFont="1" applyFill="1" applyBorder="1" applyAlignment="1" applyProtection="1">
      <alignment vertical="center" wrapText="1"/>
    </xf>
    <xf numFmtId="0" fontId="9" fillId="0" borderId="4" xfId="2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horizontal="center"/>
    </xf>
    <xf numFmtId="0" fontId="3" fillId="0" borderId="0" xfId="0" applyFont="1"/>
    <xf numFmtId="0" fontId="11" fillId="0" borderId="0" xfId="0" applyFont="1" applyAlignment="1">
      <alignment horizontal="center" vertical="center"/>
    </xf>
    <xf numFmtId="0" fontId="3" fillId="0" borderId="0" xfId="0" applyFont="1" applyBorder="1"/>
    <xf numFmtId="0" fontId="12" fillId="0" borderId="0" xfId="0" applyFont="1"/>
    <xf numFmtId="0" fontId="8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0" xfId="0" applyFont="1"/>
    <xf numFmtId="0" fontId="13" fillId="0" borderId="0" xfId="0" applyFont="1" applyAlignment="1">
      <alignment horizontal="right"/>
    </xf>
    <xf numFmtId="0" fontId="11" fillId="0" borderId="4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166" fontId="11" fillId="0" borderId="2" xfId="0" applyNumberFormat="1" applyFont="1" applyBorder="1"/>
    <xf numFmtId="165" fontId="11" fillId="0" borderId="3" xfId="1" applyNumberFormat="1" applyFont="1" applyBorder="1"/>
    <xf numFmtId="166" fontId="7" fillId="0" borderId="4" xfId="1" applyNumberFormat="1" applyFont="1" applyFill="1" applyBorder="1" applyAlignment="1" applyProtection="1">
      <alignment vertical="center" wrapText="1"/>
    </xf>
    <xf numFmtId="0" fontId="4" fillId="2" borderId="4" xfId="2" applyFont="1" applyFill="1" applyBorder="1" applyAlignment="1" applyProtection="1">
      <alignment vertical="center" wrapText="1"/>
    </xf>
    <xf numFmtId="0" fontId="6" fillId="2" borderId="4" xfId="0" applyFont="1" applyFill="1" applyBorder="1"/>
    <xf numFmtId="166" fontId="7" fillId="2" borderId="4" xfId="1" applyNumberFormat="1" applyFont="1" applyFill="1" applyBorder="1" applyAlignment="1" applyProtection="1">
      <alignment vertical="center" wrapText="1"/>
    </xf>
    <xf numFmtId="0" fontId="5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7" fillId="0" borderId="4" xfId="2" applyFont="1" applyFill="1" applyBorder="1" applyAlignment="1" applyProtection="1">
      <alignment horizontal="center" vertical="center" wrapText="1"/>
    </xf>
    <xf numFmtId="0" fontId="4" fillId="2" borderId="4" xfId="2" applyFont="1" applyFill="1" applyBorder="1" applyAlignment="1" applyProtection="1">
      <alignment horizontal="center" vertical="center" wrapText="1"/>
    </xf>
    <xf numFmtId="166" fontId="0" fillId="0" borderId="0" xfId="1" applyNumberFormat="1" applyFont="1"/>
    <xf numFmtId="166" fontId="5" fillId="0" borderId="0" xfId="1" applyNumberFormat="1" applyFont="1"/>
    <xf numFmtId="166" fontId="9" fillId="0" borderId="4" xfId="1" applyNumberFormat="1" applyFont="1" applyFill="1" applyBorder="1" applyAlignment="1" applyProtection="1">
      <alignment horizontal="center" vertical="center" wrapText="1"/>
    </xf>
    <xf numFmtId="166" fontId="6" fillId="2" borderId="4" xfId="1" applyNumberFormat="1" applyFont="1" applyFill="1" applyBorder="1"/>
    <xf numFmtId="166" fontId="4" fillId="2" borderId="4" xfId="1" applyNumberFormat="1" applyFont="1" applyFill="1" applyBorder="1" applyAlignment="1" applyProtection="1">
      <alignment vertical="center" wrapText="1"/>
    </xf>
    <xf numFmtId="0" fontId="0" fillId="0" borderId="4" xfId="0" applyBorder="1"/>
    <xf numFmtId="0" fontId="14" fillId="0" borderId="0" xfId="0" applyFont="1"/>
    <xf numFmtId="0" fontId="4" fillId="3" borderId="4" xfId="2" applyFont="1" applyFill="1" applyBorder="1" applyAlignment="1" applyProtection="1">
      <alignment vertical="center" wrapText="1"/>
    </xf>
    <xf numFmtId="0" fontId="14" fillId="3" borderId="4" xfId="0" applyFont="1" applyFill="1" applyBorder="1"/>
    <xf numFmtId="166" fontId="4" fillId="3" borderId="4" xfId="1" applyNumberFormat="1" applyFont="1" applyFill="1" applyBorder="1" applyAlignment="1" applyProtection="1">
      <alignment vertical="center" wrapText="1"/>
    </xf>
    <xf numFmtId="166" fontId="7" fillId="3" borderId="4" xfId="1" applyNumberFormat="1" applyFont="1" applyFill="1" applyBorder="1" applyAlignment="1" applyProtection="1">
      <alignment vertical="center" wrapText="1"/>
    </xf>
    <xf numFmtId="166" fontId="0" fillId="0" borderId="4" xfId="1" applyNumberFormat="1" applyFont="1" applyBorder="1"/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7" fillId="4" borderId="5" xfId="2" applyFont="1" applyFill="1" applyBorder="1" applyAlignment="1" applyProtection="1">
      <alignment vertical="center" wrapText="1"/>
    </xf>
    <xf numFmtId="0" fontId="15" fillId="0" borderId="0" xfId="0" applyFont="1" applyAlignment="1">
      <alignment horizontal="justify" vertical="justify" textRotation="180"/>
    </xf>
    <xf numFmtId="0" fontId="17" fillId="4" borderId="6" xfId="0" applyFont="1" applyFill="1" applyBorder="1" applyAlignment="1">
      <alignment horizontal="justify" vertical="justify" textRotation="180"/>
    </xf>
    <xf numFmtId="0" fontId="18" fillId="4" borderId="4" xfId="2" applyFont="1" applyFill="1" applyBorder="1" applyAlignment="1" applyProtection="1">
      <alignment horizontal="center" vertical="center" wrapText="1"/>
    </xf>
    <xf numFmtId="0" fontId="16" fillId="5" borderId="4" xfId="2" applyFont="1" applyFill="1" applyBorder="1" applyAlignment="1" applyProtection="1">
      <alignment horizontal="justify" vertical="justify" textRotation="180" wrapText="1"/>
    </xf>
    <xf numFmtId="0" fontId="17" fillId="5" borderId="4" xfId="0" applyFont="1" applyFill="1" applyBorder="1" applyAlignment="1">
      <alignment horizontal="justify" vertical="justify" textRotation="180"/>
    </xf>
    <xf numFmtId="0" fontId="17" fillId="5" borderId="3" xfId="0" applyFont="1" applyFill="1" applyBorder="1" applyAlignment="1">
      <alignment horizontal="justify" vertical="justify" textRotation="180"/>
    </xf>
    <xf numFmtId="0" fontId="17" fillId="4" borderId="2" xfId="0" applyFont="1" applyFill="1" applyBorder="1" applyAlignment="1">
      <alignment horizontal="justify" vertical="justify" textRotation="180"/>
    </xf>
    <xf numFmtId="0" fontId="7" fillId="4" borderId="2" xfId="2" applyFont="1" applyFill="1" applyBorder="1" applyAlignment="1" applyProtection="1">
      <alignment vertical="center" wrapText="1"/>
    </xf>
    <xf numFmtId="0" fontId="0" fillId="0" borderId="0" xfId="0" applyFont="1"/>
    <xf numFmtId="0" fontId="19" fillId="0" borderId="0" xfId="0" applyFont="1"/>
    <xf numFmtId="0" fontId="0" fillId="6" borderId="4" xfId="0" applyFill="1" applyBorder="1"/>
    <xf numFmtId="0" fontId="20" fillId="6" borderId="4" xfId="0" applyFont="1" applyFill="1" applyBorder="1" applyAlignment="1">
      <alignment horizontal="justify" vertical="justify" textRotation="180"/>
    </xf>
    <xf numFmtId="0" fontId="21" fillId="0" borderId="0" xfId="0" applyFont="1"/>
    <xf numFmtId="0" fontId="21" fillId="2" borderId="4" xfId="0" applyFont="1" applyFill="1" applyBorder="1" applyAlignment="1">
      <alignment horizontal="justify" vertical="justify" textRotation="180"/>
    </xf>
    <xf numFmtId="0" fontId="21" fillId="6" borderId="0" xfId="0" applyFont="1" applyFill="1"/>
    <xf numFmtId="0" fontId="0" fillId="6" borderId="0" xfId="0" applyFill="1"/>
    <xf numFmtId="0" fontId="20" fillId="0" borderId="4" xfId="0" applyFont="1" applyBorder="1" applyAlignment="1">
      <alignment horizontal="justify" vertical="justify" textRotation="180"/>
    </xf>
    <xf numFmtId="0" fontId="0" fillId="0" borderId="4" xfId="0" applyFill="1" applyBorder="1"/>
    <xf numFmtId="0" fontId="0" fillId="0" borderId="0" xfId="0" applyFill="1"/>
    <xf numFmtId="0" fontId="4" fillId="2" borderId="7" xfId="2" applyFont="1" applyFill="1" applyBorder="1" applyAlignment="1" applyProtection="1">
      <alignment vertical="center" wrapText="1"/>
    </xf>
    <xf numFmtId="0" fontId="4" fillId="2" borderId="8" xfId="2" applyFont="1" applyFill="1" applyBorder="1" applyAlignment="1" applyProtection="1">
      <alignment vertical="center" wrapText="1"/>
    </xf>
    <xf numFmtId="0" fontId="0" fillId="7" borderId="4" xfId="0" applyFill="1" applyBorder="1"/>
    <xf numFmtId="0" fontId="21" fillId="2" borderId="7" xfId="0" applyFont="1" applyFill="1" applyBorder="1" applyAlignment="1">
      <alignment horizontal="center" vertical="justify" textRotation="180"/>
    </xf>
    <xf numFmtId="166" fontId="7" fillId="7" borderId="4" xfId="1" applyNumberFormat="1" applyFont="1" applyFill="1" applyBorder="1" applyAlignment="1" applyProtection="1">
      <alignment vertical="center" wrapText="1"/>
    </xf>
    <xf numFmtId="0" fontId="17" fillId="8" borderId="3" xfId="0" applyFont="1" applyFill="1" applyBorder="1" applyAlignment="1">
      <alignment horizontal="justify" vertical="justify" textRotation="180"/>
    </xf>
    <xf numFmtId="0" fontId="18" fillId="0" borderId="4" xfId="2" applyFont="1" applyFill="1" applyBorder="1" applyAlignment="1" applyProtection="1">
      <alignment horizontal="center" vertical="center" wrapText="1"/>
    </xf>
    <xf numFmtId="0" fontId="18" fillId="4" borderId="7" xfId="2" applyFont="1" applyFill="1" applyBorder="1" applyAlignment="1" applyProtection="1">
      <alignment horizontal="center" vertical="center" wrapText="1"/>
    </xf>
    <xf numFmtId="0" fontId="21" fillId="0" borderId="4" xfId="0" applyFont="1" applyBorder="1"/>
    <xf numFmtId="43" fontId="0" fillId="0" borderId="0" xfId="1" applyFont="1"/>
    <xf numFmtId="43" fontId="17" fillId="5" borderId="3" xfId="1" applyFont="1" applyFill="1" applyBorder="1" applyAlignment="1">
      <alignment horizontal="justify" vertical="justify" textRotation="180"/>
    </xf>
    <xf numFmtId="43" fontId="7" fillId="0" borderId="4" xfId="1" applyFont="1" applyFill="1" applyBorder="1" applyAlignment="1" applyProtection="1">
      <alignment vertical="center" wrapText="1"/>
    </xf>
    <xf numFmtId="165" fontId="7" fillId="0" borderId="4" xfId="1" applyNumberFormat="1" applyFont="1" applyFill="1" applyBorder="1" applyAlignment="1" applyProtection="1">
      <alignment vertical="center" wrapText="1"/>
    </xf>
    <xf numFmtId="165" fontId="0" fillId="0" borderId="0" xfId="1" applyNumberFormat="1" applyFont="1"/>
    <xf numFmtId="165" fontId="4" fillId="2" borderId="4" xfId="1" applyNumberFormat="1" applyFont="1" applyFill="1" applyBorder="1" applyAlignment="1" applyProtection="1">
      <alignment vertical="center" wrapText="1"/>
    </xf>
    <xf numFmtId="0" fontId="0" fillId="9" borderId="4" xfId="0" applyFill="1" applyBorder="1"/>
    <xf numFmtId="166" fontId="7" fillId="9" borderId="4" xfId="1" applyNumberFormat="1" applyFont="1" applyFill="1" applyBorder="1" applyAlignment="1" applyProtection="1">
      <alignment vertical="center" wrapText="1"/>
    </xf>
    <xf numFmtId="0" fontId="4" fillId="2" borderId="10" xfId="2" applyFont="1" applyFill="1" applyBorder="1" applyAlignment="1" applyProtection="1">
      <alignment horizontal="center" vertical="center" wrapText="1"/>
    </xf>
    <xf numFmtId="0" fontId="23" fillId="0" borderId="0" xfId="0" applyFont="1"/>
    <xf numFmtId="166" fontId="7" fillId="10" borderId="4" xfId="1" applyNumberFormat="1" applyFont="1" applyFill="1" applyBorder="1" applyAlignment="1" applyProtection="1">
      <alignment vertical="center" wrapText="1"/>
    </xf>
    <xf numFmtId="0" fontId="15" fillId="0" borderId="0" xfId="0" applyFont="1"/>
    <xf numFmtId="0" fontId="25" fillId="0" borderId="4" xfId="2" applyFont="1" applyFill="1" applyBorder="1" applyAlignment="1" applyProtection="1">
      <alignment horizontal="center" vertical="center" wrapText="1"/>
    </xf>
    <xf numFmtId="0" fontId="25" fillId="2" borderId="4" xfId="2" applyFont="1" applyFill="1" applyBorder="1" applyAlignment="1" applyProtection="1">
      <alignment vertical="center" wrapText="1"/>
    </xf>
    <xf numFmtId="166" fontId="4" fillId="10" borderId="3" xfId="1" applyNumberFormat="1" applyFont="1" applyFill="1" applyBorder="1" applyAlignment="1" applyProtection="1">
      <alignment vertical="center" wrapText="1"/>
    </xf>
    <xf numFmtId="43" fontId="24" fillId="10" borderId="3" xfId="1" applyFont="1" applyFill="1" applyBorder="1"/>
    <xf numFmtId="166" fontId="24" fillId="10" borderId="3" xfId="1" applyNumberFormat="1" applyFont="1" applyFill="1" applyBorder="1"/>
    <xf numFmtId="0" fontId="24" fillId="10" borderId="3" xfId="0" applyFont="1" applyFill="1" applyBorder="1"/>
    <xf numFmtId="0" fontId="4" fillId="10" borderId="4" xfId="2" applyFont="1" applyFill="1" applyBorder="1" applyAlignment="1" applyProtection="1">
      <alignment vertical="center" wrapText="1"/>
    </xf>
    <xf numFmtId="0" fontId="25" fillId="10" borderId="4" xfId="2" applyFont="1" applyFill="1" applyBorder="1" applyAlignment="1" applyProtection="1">
      <alignment vertical="center" wrapText="1"/>
    </xf>
    <xf numFmtId="0" fontId="17" fillId="10" borderId="3" xfId="0" applyFont="1" applyFill="1" applyBorder="1" applyAlignment="1">
      <alignment horizontal="justify" vertical="justify" textRotation="180"/>
    </xf>
    <xf numFmtId="43" fontId="17" fillId="10" borderId="3" xfId="1" applyFont="1" applyFill="1" applyBorder="1" applyAlignment="1">
      <alignment horizontal="justify" vertical="justify" textRotation="180"/>
    </xf>
    <xf numFmtId="0" fontId="7" fillId="10" borderId="4" xfId="2" applyFont="1" applyFill="1" applyBorder="1" applyAlignment="1" applyProtection="1">
      <alignment vertical="center" wrapText="1"/>
    </xf>
    <xf numFmtId="166" fontId="4" fillId="11" borderId="4" xfId="1" applyNumberFormat="1" applyFont="1" applyFill="1" applyBorder="1" applyAlignment="1" applyProtection="1">
      <alignment vertical="center" wrapText="1"/>
    </xf>
    <xf numFmtId="0" fontId="27" fillId="10" borderId="4" xfId="0" applyFont="1" applyFill="1" applyBorder="1"/>
    <xf numFmtId="0" fontId="28" fillId="10" borderId="4" xfId="0" applyFont="1" applyFill="1" applyBorder="1"/>
    <xf numFmtId="166" fontId="29" fillId="10" borderId="4" xfId="0" applyNumberFormat="1" applyFont="1" applyFill="1" applyBorder="1"/>
    <xf numFmtId="0" fontId="5" fillId="10" borderId="4" xfId="0" applyFont="1" applyFill="1" applyBorder="1"/>
    <xf numFmtId="0" fontId="9" fillId="10" borderId="4" xfId="2" applyFont="1" applyFill="1" applyBorder="1" applyAlignment="1" applyProtection="1">
      <alignment horizontal="center" vertical="center" wrapText="1"/>
    </xf>
    <xf numFmtId="0" fontId="9" fillId="10" borderId="7" xfId="2" applyFont="1" applyFill="1" applyBorder="1" applyAlignment="1" applyProtection="1">
      <alignment horizontal="center" vertical="center" wrapText="1"/>
    </xf>
    <xf numFmtId="0" fontId="14" fillId="10" borderId="4" xfId="0" applyFont="1" applyFill="1" applyBorder="1"/>
    <xf numFmtId="166" fontId="7" fillId="8" borderId="4" xfId="1" applyNumberFormat="1" applyFont="1" applyFill="1" applyBorder="1" applyAlignment="1" applyProtection="1">
      <alignment vertical="center" wrapText="1"/>
    </xf>
    <xf numFmtId="166" fontId="4" fillId="0" borderId="4" xfId="1" applyNumberFormat="1" applyFont="1" applyFill="1" applyBorder="1" applyAlignment="1" applyProtection="1">
      <alignment vertical="center" wrapText="1"/>
    </xf>
    <xf numFmtId="0" fontId="26" fillId="0" borderId="0" xfId="0" applyFont="1"/>
    <xf numFmtId="166" fontId="0" fillId="0" borderId="0" xfId="0" applyNumberFormat="1"/>
    <xf numFmtId="43" fontId="17" fillId="5" borderId="3" xfId="0" applyNumberFormat="1" applyFont="1" applyFill="1" applyBorder="1" applyAlignment="1">
      <alignment horizontal="justify" vertical="justify" textRotation="180"/>
    </xf>
    <xf numFmtId="14" fontId="7" fillId="0" borderId="4" xfId="2" applyNumberFormat="1" applyFont="1" applyFill="1" applyBorder="1" applyAlignment="1" applyProtection="1">
      <alignment vertical="center" wrapText="1"/>
    </xf>
    <xf numFmtId="166" fontId="31" fillId="0" borderId="4" xfId="1" applyNumberFormat="1" applyFont="1" applyFill="1" applyBorder="1" applyAlignment="1" applyProtection="1">
      <alignment horizontal="center" vertical="center"/>
    </xf>
    <xf numFmtId="165" fontId="14" fillId="10" borderId="4" xfId="1" applyNumberFormat="1" applyFont="1" applyFill="1" applyBorder="1"/>
    <xf numFmtId="0" fontId="4" fillId="8" borderId="4" xfId="2" applyFont="1" applyFill="1" applyBorder="1" applyAlignment="1" applyProtection="1">
      <alignment vertical="center" wrapText="1"/>
    </xf>
    <xf numFmtId="9" fontId="0" fillId="0" borderId="0" xfId="3" applyFont="1"/>
    <xf numFmtId="9" fontId="14" fillId="6" borderId="4" xfId="3" applyFont="1" applyFill="1" applyBorder="1"/>
    <xf numFmtId="9" fontId="14" fillId="13" borderId="4" xfId="3" applyFont="1" applyFill="1" applyBorder="1"/>
    <xf numFmtId="166" fontId="7" fillId="0" borderId="0" xfId="1" applyNumberFormat="1" applyFont="1" applyFill="1" applyBorder="1" applyAlignment="1" applyProtection="1">
      <alignment vertical="center" wrapText="1"/>
    </xf>
    <xf numFmtId="167" fontId="0" fillId="0" borderId="0" xfId="0" applyNumberFormat="1"/>
    <xf numFmtId="168" fontId="0" fillId="0" borderId="0" xfId="0" applyNumberFormat="1"/>
    <xf numFmtId="168" fontId="14" fillId="0" borderId="0" xfId="0" applyNumberFormat="1" applyFont="1"/>
    <xf numFmtId="1" fontId="0" fillId="0" borderId="0" xfId="0" applyNumberFormat="1"/>
    <xf numFmtId="0" fontId="0" fillId="0" borderId="0" xfId="0" quotePrefix="1"/>
    <xf numFmtId="0" fontId="14" fillId="0" borderId="0" xfId="0" quotePrefix="1" applyFont="1"/>
    <xf numFmtId="9" fontId="14" fillId="0" borderId="0" xfId="3" applyFont="1" applyFill="1" applyBorder="1"/>
    <xf numFmtId="0" fontId="32" fillId="0" borderId="0" xfId="0" applyFont="1"/>
    <xf numFmtId="0" fontId="33" fillId="0" borderId="0" xfId="0" applyFont="1"/>
    <xf numFmtId="0" fontId="33" fillId="0" borderId="0" xfId="0" quotePrefix="1" applyFont="1"/>
    <xf numFmtId="0" fontId="12" fillId="0" borderId="7" xfId="0" applyFont="1" applyBorder="1" applyAlignment="1">
      <alignment horizontal="center"/>
    </xf>
    <xf numFmtId="0" fontId="0" fillId="0" borderId="0" xfId="0" applyBorder="1"/>
    <xf numFmtId="0" fontId="0" fillId="0" borderId="7" xfId="0" applyBorder="1"/>
    <xf numFmtId="166" fontId="0" fillId="0" borderId="9" xfId="1" applyNumberFormat="1" applyFont="1" applyBorder="1"/>
    <xf numFmtId="0" fontId="12" fillId="0" borderId="0" xfId="0" applyFont="1" applyBorder="1" applyAlignment="1">
      <alignment horizontal="center"/>
    </xf>
    <xf numFmtId="166" fontId="0" fillId="0" borderId="0" xfId="1" applyNumberFormat="1" applyFont="1" applyBorder="1"/>
    <xf numFmtId="0" fontId="12" fillId="0" borderId="0" xfId="0" quotePrefix="1" applyFont="1" applyBorder="1" applyAlignment="1">
      <alignment horizontal="left"/>
    </xf>
    <xf numFmtId="0" fontId="18" fillId="0" borderId="9" xfId="2" applyFont="1" applyFill="1" applyBorder="1" applyAlignment="1" applyProtection="1">
      <alignment horizontal="center" vertical="center" wrapText="1"/>
    </xf>
    <xf numFmtId="2" fontId="4" fillId="3" borderId="4" xfId="2" applyNumberFormat="1" applyFont="1" applyFill="1" applyBorder="1" applyAlignment="1" applyProtection="1">
      <alignment vertical="center" wrapText="1"/>
    </xf>
    <xf numFmtId="165" fontId="0" fillId="0" borderId="0" xfId="0" applyNumberFormat="1"/>
    <xf numFmtId="165" fontId="0" fillId="0" borderId="4" xfId="1" applyNumberFormat="1" applyFont="1" applyFill="1" applyBorder="1" applyAlignment="1">
      <alignment horizontal="center" vertical="center"/>
    </xf>
    <xf numFmtId="165" fontId="3" fillId="15" borderId="4" xfId="1" applyNumberFormat="1" applyFont="1" applyFill="1" applyBorder="1" applyAlignment="1">
      <alignment horizontal="center" vertical="center"/>
    </xf>
    <xf numFmtId="165" fontId="3" fillId="0" borderId="4" xfId="1" applyNumberFormat="1" applyFont="1" applyFill="1" applyBorder="1" applyAlignment="1">
      <alignment horizontal="center" vertical="center"/>
    </xf>
    <xf numFmtId="165" fontId="34" fillId="0" borderId="4" xfId="1" applyNumberFormat="1" applyFont="1" applyFill="1" applyBorder="1" applyAlignment="1">
      <alignment horizontal="center" vertical="center"/>
    </xf>
    <xf numFmtId="0" fontId="0" fillId="0" borderId="4" xfId="0" applyFont="1" applyBorder="1"/>
    <xf numFmtId="165" fontId="34" fillId="15" borderId="4" xfId="1" applyNumberFormat="1" applyFont="1" applyFill="1" applyBorder="1" applyAlignment="1">
      <alignment horizontal="center" vertical="center"/>
    </xf>
    <xf numFmtId="0" fontId="8" fillId="2" borderId="4" xfId="2" applyFont="1" applyFill="1" applyBorder="1" applyAlignment="1" applyProtection="1">
      <alignment vertical="center" wrapText="1"/>
    </xf>
    <xf numFmtId="0" fontId="35" fillId="0" borderId="4" xfId="2" applyFont="1" applyFill="1" applyBorder="1" applyAlignment="1" applyProtection="1">
      <alignment vertical="center" wrapText="1"/>
    </xf>
    <xf numFmtId="165" fontId="34" fillId="16" borderId="4" xfId="1" applyNumberFormat="1" applyFont="1" applyFill="1" applyBorder="1" applyAlignment="1">
      <alignment horizontal="center" vertical="center"/>
    </xf>
    <xf numFmtId="165" fontId="5" fillId="0" borderId="0" xfId="1" applyNumberFormat="1" applyFont="1"/>
    <xf numFmtId="165" fontId="0" fillId="0" borderId="4" xfId="1" applyNumberFormat="1" applyFont="1" applyBorder="1"/>
    <xf numFmtId="165" fontId="8" fillId="2" borderId="4" xfId="1" applyNumberFormat="1" applyFont="1" applyFill="1" applyBorder="1" applyAlignment="1" applyProtection="1">
      <alignment vertical="center" wrapText="1"/>
    </xf>
    <xf numFmtId="165" fontId="35" fillId="0" borderId="4" xfId="1" applyNumberFormat="1" applyFont="1" applyFill="1" applyBorder="1" applyAlignment="1" applyProtection="1">
      <alignment vertical="center" wrapText="1"/>
    </xf>
    <xf numFmtId="165" fontId="0" fillId="0" borderId="4" xfId="1" applyNumberFormat="1" applyFont="1" applyFill="1" applyBorder="1"/>
    <xf numFmtId="165" fontId="3" fillId="14" borderId="4" xfId="1" applyNumberFormat="1" applyFont="1" applyFill="1" applyBorder="1" applyAlignment="1">
      <alignment horizontal="center" vertical="center"/>
    </xf>
    <xf numFmtId="165" fontId="3" fillId="0" borderId="4" xfId="1" applyNumberFormat="1" applyFont="1" applyFill="1" applyBorder="1" applyAlignment="1">
      <alignment horizontal="center"/>
    </xf>
    <xf numFmtId="165" fontId="3" fillId="14" borderId="4" xfId="1" applyNumberFormat="1" applyFont="1" applyFill="1" applyBorder="1" applyAlignment="1">
      <alignment horizontal="center"/>
    </xf>
    <xf numFmtId="165" fontId="3" fillId="0" borderId="9" xfId="1" applyNumberFormat="1" applyFont="1" applyFill="1" applyBorder="1" applyAlignment="1">
      <alignment horizontal="center"/>
    </xf>
    <xf numFmtId="43" fontId="0" fillId="0" borderId="0" xfId="1" applyNumberFormat="1" applyFont="1"/>
    <xf numFmtId="0" fontId="0" fillId="0" borderId="0" xfId="0" applyAlignment="1"/>
    <xf numFmtId="166" fontId="0" fillId="17" borderId="0" xfId="1" applyNumberFormat="1" applyFont="1" applyFill="1"/>
    <xf numFmtId="166" fontId="11" fillId="0" borderId="0" xfId="1" applyNumberFormat="1" applyFont="1" applyAlignment="1">
      <alignment horizontal="center"/>
    </xf>
    <xf numFmtId="166" fontId="0" fillId="7" borderId="4" xfId="1" applyNumberFormat="1" applyFont="1" applyFill="1" applyBorder="1"/>
    <xf numFmtId="166" fontId="14" fillId="7" borderId="4" xfId="1" applyNumberFormat="1" applyFont="1" applyFill="1" applyBorder="1"/>
    <xf numFmtId="0" fontId="14" fillId="6" borderId="0" xfId="0" applyFont="1" applyFill="1" applyBorder="1"/>
    <xf numFmtId="0" fontId="0" fillId="0" borderId="0" xfId="0" applyFill="1" applyBorder="1"/>
    <xf numFmtId="168" fontId="36" fillId="0" borderId="0" xfId="0" applyNumberFormat="1" applyFont="1"/>
    <xf numFmtId="166" fontId="14" fillId="0" borderId="0" xfId="1" applyNumberFormat="1" applyFont="1"/>
    <xf numFmtId="166" fontId="6" fillId="0" borderId="0" xfId="1" applyNumberFormat="1" applyFont="1"/>
    <xf numFmtId="166" fontId="38" fillId="0" borderId="0" xfId="1" applyNumberFormat="1" applyFont="1"/>
    <xf numFmtId="0" fontId="6" fillId="0" borderId="0" xfId="0" applyFont="1" applyAlignment="1">
      <alignment horizontal="center"/>
    </xf>
    <xf numFmtId="165" fontId="9" fillId="0" borderId="4" xfId="1" applyNumberFormat="1" applyFont="1" applyFill="1" applyBorder="1" applyAlignment="1" applyProtection="1">
      <alignment horizontal="center" vertical="center" wrapText="1"/>
    </xf>
    <xf numFmtId="165" fontId="6" fillId="0" borderId="0" xfId="1" applyNumberFormat="1" applyFont="1"/>
    <xf numFmtId="0" fontId="39" fillId="2" borderId="4" xfId="2" applyFont="1" applyFill="1" applyBorder="1" applyAlignment="1" applyProtection="1">
      <alignment vertical="center" wrapText="1"/>
    </xf>
    <xf numFmtId="166" fontId="30" fillId="2" borderId="4" xfId="1" applyNumberFormat="1" applyFont="1" applyFill="1" applyBorder="1" applyAlignment="1" applyProtection="1">
      <alignment vertical="center" wrapText="1"/>
    </xf>
    <xf numFmtId="0" fontId="39" fillId="2" borderId="4" xfId="2" applyFont="1" applyFill="1" applyBorder="1" applyAlignment="1" applyProtection="1">
      <alignment horizontal="center" vertical="center" wrapText="1"/>
    </xf>
    <xf numFmtId="166" fontId="39" fillId="2" borderId="4" xfId="1" applyNumberFormat="1" applyFont="1" applyFill="1" applyBorder="1" applyAlignment="1" applyProtection="1">
      <alignment vertical="center" wrapText="1"/>
    </xf>
    <xf numFmtId="166" fontId="30" fillId="8" borderId="4" xfId="1" applyNumberFormat="1" applyFont="1" applyFill="1" applyBorder="1" applyAlignment="1" applyProtection="1">
      <alignment vertical="center" wrapText="1"/>
    </xf>
    <xf numFmtId="0" fontId="40" fillId="0" borderId="0" xfId="0" applyFont="1"/>
    <xf numFmtId="166" fontId="39" fillId="0" borderId="4" xfId="1" applyNumberFormat="1" applyFont="1" applyFill="1" applyBorder="1" applyAlignment="1" applyProtection="1">
      <alignment vertical="center" wrapText="1"/>
    </xf>
    <xf numFmtId="0" fontId="39" fillId="0" borderId="4" xfId="2" applyFont="1" applyFill="1" applyBorder="1" applyAlignment="1" applyProtection="1">
      <alignment vertical="center" wrapText="1"/>
    </xf>
    <xf numFmtId="14" fontId="39" fillId="0" borderId="4" xfId="2" applyNumberFormat="1" applyFont="1" applyFill="1" applyBorder="1" applyAlignment="1" applyProtection="1">
      <alignment vertical="center" wrapText="1"/>
    </xf>
    <xf numFmtId="166" fontId="41" fillId="0" borderId="4" xfId="1" applyNumberFormat="1" applyFont="1" applyFill="1" applyBorder="1" applyAlignment="1" applyProtection="1">
      <alignment horizontal="center" vertical="center"/>
    </xf>
    <xf numFmtId="0" fontId="39" fillId="0" borderId="4" xfId="2" applyFont="1" applyFill="1" applyBorder="1" applyAlignment="1" applyProtection="1">
      <alignment horizontal="center" vertical="center" wrapText="1"/>
    </xf>
    <xf numFmtId="0" fontId="42" fillId="0" borderId="0" xfId="0" applyFont="1"/>
    <xf numFmtId="0" fontId="14" fillId="0" borderId="4" xfId="0" applyFont="1" applyBorder="1"/>
    <xf numFmtId="0" fontId="14" fillId="0" borderId="0" xfId="0" applyFont="1" applyAlignment="1">
      <alignment horizontal="right"/>
    </xf>
    <xf numFmtId="166" fontId="14" fillId="0" borderId="4" xfId="1" applyNumberFormat="1" applyFont="1" applyBorder="1"/>
    <xf numFmtId="165" fontId="39" fillId="2" borderId="4" xfId="1" applyNumberFormat="1" applyFont="1" applyFill="1" applyBorder="1" applyAlignment="1" applyProtection="1">
      <alignment vertical="center" wrapText="1"/>
    </xf>
    <xf numFmtId="165" fontId="30" fillId="8" borderId="4" xfId="1" applyNumberFormat="1" applyFont="1" applyFill="1" applyBorder="1" applyAlignment="1" applyProtection="1">
      <alignment vertical="center" wrapText="1"/>
    </xf>
    <xf numFmtId="165" fontId="39" fillId="0" borderId="4" xfId="1" applyNumberFormat="1" applyFont="1" applyFill="1" applyBorder="1" applyAlignment="1" applyProtection="1">
      <alignment vertical="center" wrapText="1"/>
    </xf>
    <xf numFmtId="166" fontId="37" fillId="12" borderId="1" xfId="1" applyNumberFormat="1" applyFont="1" applyFill="1" applyBorder="1" applyAlignment="1" applyProtection="1">
      <alignment vertical="center" wrapText="1"/>
    </xf>
    <xf numFmtId="165" fontId="37" fillId="12" borderId="1" xfId="1" applyNumberFormat="1" applyFont="1" applyFill="1" applyBorder="1" applyAlignment="1" applyProtection="1">
      <alignment vertical="center" wrapText="1"/>
    </xf>
    <xf numFmtId="0" fontId="10" fillId="0" borderId="4" xfId="0" applyFont="1" applyBorder="1" applyAlignment="1">
      <alignment horizontal="center"/>
    </xf>
    <xf numFmtId="0" fontId="40" fillId="0" borderId="4" xfId="0" applyFont="1" applyBorder="1"/>
    <xf numFmtId="0" fontId="5" fillId="0" borderId="4" xfId="0" applyFont="1" applyBorder="1"/>
    <xf numFmtId="0" fontId="42" fillId="0" borderId="4" xfId="0" applyFont="1" applyBorder="1"/>
    <xf numFmtId="0" fontId="0" fillId="18" borderId="4" xfId="0" applyFill="1" applyBorder="1"/>
    <xf numFmtId="0" fontId="44" fillId="0" borderId="0" xfId="0" applyFont="1"/>
    <xf numFmtId="0" fontId="45" fillId="0" borderId="0" xfId="0" applyFont="1"/>
    <xf numFmtId="0" fontId="7" fillId="19" borderId="4" xfId="2" applyFont="1" applyFill="1" applyBorder="1" applyAlignment="1" applyProtection="1">
      <alignment vertical="center" wrapText="1"/>
    </xf>
    <xf numFmtId="166" fontId="7" fillId="19" borderId="4" xfId="1" applyNumberFormat="1" applyFont="1" applyFill="1" applyBorder="1" applyAlignment="1" applyProtection="1">
      <alignment vertical="center" wrapText="1"/>
    </xf>
    <xf numFmtId="165" fontId="7" fillId="19" borderId="4" xfId="1" applyNumberFormat="1" applyFont="1" applyFill="1" applyBorder="1" applyAlignment="1" applyProtection="1">
      <alignment vertical="center" wrapText="1"/>
    </xf>
    <xf numFmtId="0" fontId="0" fillId="19" borderId="0" xfId="0" applyFill="1"/>
    <xf numFmtId="166" fontId="7" fillId="20" borderId="4" xfId="1" applyNumberFormat="1" applyFont="1" applyFill="1" applyBorder="1" applyAlignment="1" applyProtection="1">
      <alignment vertical="center" wrapText="1"/>
    </xf>
    <xf numFmtId="166" fontId="4" fillId="19" borderId="4" xfId="1" applyNumberFormat="1" applyFont="1" applyFill="1" applyBorder="1" applyAlignment="1" applyProtection="1">
      <alignment vertical="center" wrapText="1"/>
    </xf>
    <xf numFmtId="166" fontId="4" fillId="21" borderId="4" xfId="1" applyNumberFormat="1" applyFont="1" applyFill="1" applyBorder="1" applyAlignment="1" applyProtection="1">
      <alignment vertical="center" wrapText="1"/>
    </xf>
    <xf numFmtId="171" fontId="0" fillId="0" borderId="0" xfId="1" applyNumberFormat="1" applyFont="1"/>
    <xf numFmtId="171" fontId="14" fillId="0" borderId="0" xfId="1" applyNumberFormat="1" applyFont="1"/>
    <xf numFmtId="14" fontId="7" fillId="19" borderId="4" xfId="2" applyNumberFormat="1" applyFont="1" applyFill="1" applyBorder="1" applyAlignment="1" applyProtection="1">
      <alignment vertical="center" wrapText="1"/>
    </xf>
    <xf numFmtId="166" fontId="31" fillId="19" borderId="4" xfId="1" applyNumberFormat="1" applyFont="1" applyFill="1" applyBorder="1" applyAlignment="1" applyProtection="1">
      <alignment horizontal="center" vertical="center"/>
    </xf>
    <xf numFmtId="0" fontId="7" fillId="19" borderId="4" xfId="2" applyFont="1" applyFill="1" applyBorder="1" applyAlignment="1" applyProtection="1">
      <alignment horizontal="center" vertical="center" wrapText="1"/>
    </xf>
    <xf numFmtId="0" fontId="5" fillId="19" borderId="4" xfId="0" applyFont="1" applyFill="1" applyBorder="1"/>
    <xf numFmtId="0" fontId="5" fillId="19" borderId="0" xfId="0" applyFont="1" applyFill="1"/>
    <xf numFmtId="170" fontId="5" fillId="0" borderId="0" xfId="1" applyNumberFormat="1" applyFont="1"/>
    <xf numFmtId="166" fontId="10" fillId="0" borderId="0" xfId="1" applyNumberFormat="1" applyFont="1" applyAlignment="1">
      <alignment horizontal="center"/>
    </xf>
    <xf numFmtId="166" fontId="40" fillId="0" borderId="0" xfId="1" applyNumberFormat="1" applyFont="1"/>
    <xf numFmtId="166" fontId="5" fillId="19" borderId="0" xfId="1" applyNumberFormat="1" applyFont="1" applyFill="1"/>
    <xf numFmtId="166" fontId="42" fillId="0" borderId="0" xfId="1" applyNumberFormat="1" applyFont="1"/>
    <xf numFmtId="172" fontId="0" fillId="0" borderId="0" xfId="1" applyNumberFormat="1" applyFont="1"/>
    <xf numFmtId="0" fontId="35" fillId="0" borderId="0" xfId="0" applyFont="1"/>
    <xf numFmtId="0" fontId="35" fillId="0" borderId="0" xfId="0" applyFont="1" applyAlignment="1">
      <alignment horizontal="center"/>
    </xf>
    <xf numFmtId="166" fontId="35" fillId="0" borderId="0" xfId="1" applyNumberFormat="1" applyFont="1"/>
    <xf numFmtId="165" fontId="35" fillId="0" borderId="0" xfId="1" applyNumberFormat="1" applyFont="1"/>
    <xf numFmtId="166" fontId="47" fillId="0" borderId="0" xfId="1" applyNumberFormat="1" applyFont="1"/>
    <xf numFmtId="170" fontId="35" fillId="0" borderId="0" xfId="1" applyNumberFormat="1" applyFont="1"/>
    <xf numFmtId="166" fontId="4" fillId="12" borderId="1" xfId="1" applyNumberFormat="1" applyFont="1" applyFill="1" applyBorder="1" applyAlignment="1" applyProtection="1">
      <alignment vertical="center" wrapText="1"/>
    </xf>
    <xf numFmtId="165" fontId="4" fillId="12" borderId="1" xfId="1" applyNumberFormat="1" applyFont="1" applyFill="1" applyBorder="1" applyAlignment="1" applyProtection="1">
      <alignment vertical="center" wrapText="1"/>
    </xf>
    <xf numFmtId="0" fontId="9" fillId="0" borderId="4" xfId="0" applyFont="1" applyBorder="1" applyAlignment="1">
      <alignment horizontal="center"/>
    </xf>
    <xf numFmtId="166" fontId="9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4" xfId="0" applyFont="1" applyBorder="1"/>
    <xf numFmtId="166" fontId="8" fillId="0" borderId="0" xfId="1" applyNumberFormat="1" applyFont="1"/>
    <xf numFmtId="0" fontId="35" fillId="0" borderId="4" xfId="0" applyFont="1" applyBorder="1"/>
    <xf numFmtId="165" fontId="7" fillId="8" borderId="4" xfId="1" applyNumberFormat="1" applyFont="1" applyFill="1" applyBorder="1" applyAlignment="1" applyProtection="1">
      <alignment vertical="center" wrapText="1"/>
    </xf>
    <xf numFmtId="0" fontId="4" fillId="0" borderId="4" xfId="2" applyFont="1" applyFill="1" applyBorder="1" applyAlignment="1" applyProtection="1">
      <alignment vertical="center" wrapText="1"/>
    </xf>
    <xf numFmtId="14" fontId="4" fillId="0" borderId="4" xfId="2" applyNumberFormat="1" applyFont="1" applyFill="1" applyBorder="1" applyAlignment="1" applyProtection="1">
      <alignment vertical="center" wrapText="1"/>
    </xf>
    <xf numFmtId="166" fontId="48" fillId="0" borderId="4" xfId="1" applyNumberFormat="1" applyFont="1" applyFill="1" applyBorder="1" applyAlignment="1" applyProtection="1">
      <alignment horizontal="center" vertical="center"/>
    </xf>
    <xf numFmtId="0" fontId="4" fillId="0" borderId="4" xfId="2" applyFont="1" applyFill="1" applyBorder="1" applyAlignment="1" applyProtection="1">
      <alignment horizontal="center" vertical="center" wrapText="1"/>
    </xf>
    <xf numFmtId="165" fontId="4" fillId="0" borderId="4" xfId="1" applyNumberFormat="1" applyFont="1" applyFill="1" applyBorder="1" applyAlignment="1" applyProtection="1">
      <alignment vertical="center" wrapText="1"/>
    </xf>
    <xf numFmtId="0" fontId="35" fillId="0" borderId="4" xfId="0" applyFont="1" applyFill="1" applyBorder="1"/>
    <xf numFmtId="166" fontId="35" fillId="0" borderId="0" xfId="1" applyNumberFormat="1" applyFont="1" applyFill="1"/>
    <xf numFmtId="0" fontId="35" fillId="0" borderId="0" xfId="0" applyFont="1" applyFill="1"/>
    <xf numFmtId="0" fontId="4" fillId="0" borderId="0" xfId="2" applyFont="1" applyFill="1" applyBorder="1" applyAlignment="1" applyProtection="1">
      <alignment vertical="center" wrapText="1"/>
    </xf>
    <xf numFmtId="14" fontId="4" fillId="0" borderId="0" xfId="2" applyNumberFormat="1" applyFont="1" applyFill="1" applyBorder="1" applyAlignment="1" applyProtection="1">
      <alignment vertical="center" wrapText="1"/>
    </xf>
    <xf numFmtId="166" fontId="48" fillId="0" borderId="0" xfId="1" applyNumberFormat="1" applyFont="1" applyFill="1" applyBorder="1" applyAlignment="1" applyProtection="1">
      <alignment horizontal="center" vertical="center"/>
    </xf>
    <xf numFmtId="166" fontId="4" fillId="0" borderId="0" xfId="1" applyNumberFormat="1" applyFont="1" applyFill="1" applyBorder="1" applyAlignment="1" applyProtection="1">
      <alignment vertical="center" wrapText="1"/>
    </xf>
    <xf numFmtId="0" fontId="4" fillId="0" borderId="0" xfId="2" applyFont="1" applyFill="1" applyBorder="1" applyAlignment="1" applyProtection="1">
      <alignment horizontal="center" vertical="center" wrapText="1"/>
    </xf>
    <xf numFmtId="165" fontId="4" fillId="0" borderId="0" xfId="1" applyNumberFormat="1" applyFont="1" applyFill="1" applyBorder="1" applyAlignment="1" applyProtection="1">
      <alignment vertical="center" wrapText="1"/>
    </xf>
    <xf numFmtId="166" fontId="39" fillId="0" borderId="0" xfId="1" applyNumberFormat="1" applyFont="1" applyFill="1" applyBorder="1" applyAlignment="1" applyProtection="1">
      <alignment vertical="center" wrapText="1"/>
    </xf>
    <xf numFmtId="0" fontId="35" fillId="0" borderId="0" xfId="0" applyFont="1" applyBorder="1"/>
    <xf numFmtId="166" fontId="7" fillId="18" borderId="4" xfId="1" applyNumberFormat="1" applyFont="1" applyFill="1" applyBorder="1" applyAlignment="1" applyProtection="1">
      <alignment vertical="center" wrapText="1"/>
    </xf>
    <xf numFmtId="0" fontId="7" fillId="18" borderId="4" xfId="2" applyFont="1" applyFill="1" applyBorder="1" applyAlignment="1" applyProtection="1">
      <alignment vertical="center" wrapText="1"/>
    </xf>
    <xf numFmtId="0" fontId="7" fillId="18" borderId="4" xfId="2" applyFont="1" applyFill="1" applyBorder="1" applyAlignment="1" applyProtection="1">
      <alignment horizontal="center" vertical="center" wrapText="1"/>
    </xf>
    <xf numFmtId="14" fontId="7" fillId="18" borderId="4" xfId="2" applyNumberFormat="1" applyFont="1" applyFill="1" applyBorder="1" applyAlignment="1" applyProtection="1">
      <alignment vertical="center" wrapText="1"/>
    </xf>
    <xf numFmtId="0" fontId="49" fillId="18" borderId="4" xfId="0" applyFont="1" applyFill="1" applyBorder="1"/>
    <xf numFmtId="0" fontId="49" fillId="9" borderId="4" xfId="0" applyFont="1" applyFill="1" applyBorder="1"/>
    <xf numFmtId="43" fontId="43" fillId="18" borderId="4" xfId="1" applyFont="1" applyFill="1" applyBorder="1"/>
    <xf numFmtId="166" fontId="46" fillId="0" borderId="4" xfId="1" applyNumberFormat="1" applyFont="1" applyFill="1" applyBorder="1" applyAlignment="1" applyProtection="1">
      <alignment vertical="center" wrapText="1"/>
    </xf>
    <xf numFmtId="166" fontId="17" fillId="8" borderId="3" xfId="0" applyNumberFormat="1" applyFont="1" applyFill="1" applyBorder="1" applyAlignment="1">
      <alignment horizontal="justify" vertical="justify" textRotation="180"/>
    </xf>
    <xf numFmtId="43" fontId="0" fillId="0" borderId="0" xfId="0" applyNumberFormat="1" applyFill="1"/>
    <xf numFmtId="165" fontId="7" fillId="18" borderId="4" xfId="1" applyNumberFormat="1" applyFont="1" applyFill="1" applyBorder="1" applyAlignment="1" applyProtection="1">
      <alignment vertical="center" wrapText="1"/>
    </xf>
    <xf numFmtId="0" fontId="50" fillId="0" borderId="0" xfId="0" applyFont="1"/>
    <xf numFmtId="0" fontId="51" fillId="10" borderId="4" xfId="2" applyFont="1" applyFill="1" applyBorder="1" applyAlignment="1" applyProtection="1">
      <alignment horizontal="center" vertical="center" wrapText="1"/>
    </xf>
    <xf numFmtId="0" fontId="51" fillId="10" borderId="7" xfId="2" applyFont="1" applyFill="1" applyBorder="1" applyAlignment="1" applyProtection="1">
      <alignment horizontal="center" vertical="center" wrapText="1"/>
    </xf>
    <xf numFmtId="0" fontId="53" fillId="0" borderId="4" xfId="2" applyFont="1" applyFill="1" applyBorder="1" applyAlignment="1" applyProtection="1">
      <alignment vertical="center" wrapText="1"/>
    </xf>
    <xf numFmtId="166" fontId="31" fillId="18" borderId="4" xfId="1" applyNumberFormat="1" applyFont="1" applyFill="1" applyBorder="1" applyAlignment="1" applyProtection="1">
      <alignment horizontal="center" vertical="center"/>
    </xf>
    <xf numFmtId="166" fontId="4" fillId="18" borderId="4" xfId="1" applyNumberFormat="1" applyFont="1" applyFill="1" applyBorder="1" applyAlignment="1" applyProtection="1">
      <alignment vertical="center" wrapText="1"/>
    </xf>
    <xf numFmtId="0" fontId="35" fillId="18" borderId="4" xfId="0" applyFont="1" applyFill="1" applyBorder="1"/>
    <xf numFmtId="14" fontId="55" fillId="0" borderId="0" xfId="1" applyNumberFormat="1" applyFont="1"/>
    <xf numFmtId="166" fontId="8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166" fontId="35" fillId="19" borderId="0" xfId="1" applyNumberFormat="1" applyFont="1" applyFill="1"/>
    <xf numFmtId="166" fontId="9" fillId="19" borderId="4" xfId="1" applyNumberFormat="1" applyFont="1" applyFill="1" applyBorder="1" applyAlignment="1" applyProtection="1">
      <alignment horizontal="center" vertical="center" wrapText="1"/>
    </xf>
    <xf numFmtId="166" fontId="4" fillId="19" borderId="0" xfId="1" applyNumberFormat="1" applyFont="1" applyFill="1" applyBorder="1" applyAlignment="1" applyProtection="1">
      <alignment vertical="center" wrapText="1"/>
    </xf>
    <xf numFmtId="166" fontId="8" fillId="19" borderId="0" xfId="1" applyNumberFormat="1" applyFont="1" applyFill="1"/>
    <xf numFmtId="0" fontId="35" fillId="19" borderId="0" xfId="0" applyFont="1" applyFill="1"/>
    <xf numFmtId="166" fontId="35" fillId="19" borderId="0" xfId="1" applyNumberFormat="1" applyFont="1" applyFill="1" applyAlignment="1">
      <alignment horizontal="center"/>
    </xf>
    <xf numFmtId="166" fontId="4" fillId="19" borderId="4" xfId="1" applyNumberFormat="1" applyFont="1" applyFill="1" applyBorder="1" applyAlignment="1" applyProtection="1">
      <alignment horizontal="center" vertical="center" wrapText="1"/>
    </xf>
    <xf numFmtId="166" fontId="7" fillId="19" borderId="4" xfId="1" applyNumberFormat="1" applyFont="1" applyFill="1" applyBorder="1" applyAlignment="1" applyProtection="1">
      <alignment horizontal="center" vertical="center" wrapText="1"/>
    </xf>
    <xf numFmtId="166" fontId="8" fillId="19" borderId="0" xfId="1" applyNumberFormat="1" applyFont="1" applyFill="1" applyAlignment="1">
      <alignment horizontal="center"/>
    </xf>
    <xf numFmtId="0" fontId="56" fillId="0" borderId="0" xfId="0" applyFont="1" applyAlignment="1"/>
    <xf numFmtId="0" fontId="51" fillId="0" borderId="0" xfId="0" applyFont="1" applyAlignment="1"/>
    <xf numFmtId="0" fontId="57" fillId="0" borderId="0" xfId="0" applyFont="1"/>
    <xf numFmtId="0" fontId="58" fillId="0" borderId="0" xfId="0" applyFont="1"/>
    <xf numFmtId="0" fontId="59" fillId="0" borderId="0" xfId="0" applyFont="1"/>
    <xf numFmtId="166" fontId="51" fillId="0" borderId="0" xfId="1" applyNumberFormat="1" applyFont="1" applyBorder="1"/>
    <xf numFmtId="0" fontId="51" fillId="0" borderId="0" xfId="0" applyFont="1"/>
    <xf numFmtId="0" fontId="60" fillId="0" borderId="0" xfId="0" applyFont="1"/>
    <xf numFmtId="0" fontId="51" fillId="19" borderId="1" xfId="0" applyFont="1" applyFill="1" applyBorder="1" applyAlignment="1">
      <alignment horizontal="center" vertical="center"/>
    </xf>
    <xf numFmtId="0" fontId="51" fillId="19" borderId="4" xfId="0" applyFont="1" applyFill="1" applyBorder="1" applyAlignment="1">
      <alignment horizontal="center"/>
    </xf>
    <xf numFmtId="0" fontId="51" fillId="19" borderId="3" xfId="0" applyFont="1" applyFill="1" applyBorder="1" applyAlignment="1">
      <alignment horizontal="center" vertical="center"/>
    </xf>
    <xf numFmtId="0" fontId="61" fillId="19" borderId="4" xfId="0" applyFont="1" applyFill="1" applyBorder="1" applyAlignment="1">
      <alignment horizontal="center" vertical="center"/>
    </xf>
    <xf numFmtId="0" fontId="51" fillId="22" borderId="4" xfId="0" applyFont="1" applyFill="1" applyBorder="1"/>
    <xf numFmtId="0" fontId="57" fillId="22" borderId="4" xfId="0" applyFont="1" applyFill="1" applyBorder="1" applyAlignment="1">
      <alignment horizontal="center"/>
    </xf>
    <xf numFmtId="0" fontId="51" fillId="22" borderId="4" xfId="0" applyFont="1" applyFill="1" applyBorder="1" applyAlignment="1">
      <alignment horizontal="center"/>
    </xf>
    <xf numFmtId="0" fontId="57" fillId="0" borderId="4" xfId="0" applyFont="1" applyBorder="1"/>
    <xf numFmtId="0" fontId="57" fillId="23" borderId="4" xfId="0" applyFont="1" applyFill="1" applyBorder="1" applyAlignment="1">
      <alignment horizontal="center"/>
    </xf>
    <xf numFmtId="0" fontId="57" fillId="23" borderId="4" xfId="0" applyFont="1" applyFill="1" applyBorder="1"/>
    <xf numFmtId="0" fontId="57" fillId="0" borderId="4" xfId="0" applyFont="1" applyBorder="1" applyAlignment="1">
      <alignment horizontal="center"/>
    </xf>
    <xf numFmtId="166" fontId="57" fillId="0" borderId="4" xfId="0" applyNumberFormat="1" applyFont="1" applyBorder="1" applyAlignment="1">
      <alignment horizontal="right"/>
    </xf>
    <xf numFmtId="173" fontId="57" fillId="0" borderId="4" xfId="0" applyNumberFormat="1" applyFont="1" applyBorder="1" applyAlignment="1">
      <alignment horizontal="right"/>
    </xf>
    <xf numFmtId="0" fontId="57" fillId="22" borderId="4" xfId="0" applyFont="1" applyFill="1" applyBorder="1"/>
    <xf numFmtId="0" fontId="51" fillId="22" borderId="4" xfId="0" applyFont="1" applyFill="1" applyBorder="1" applyAlignment="1"/>
    <xf numFmtId="0" fontId="51" fillId="22" borderId="4" xfId="0" applyFont="1" applyFill="1" applyBorder="1" applyAlignment="1">
      <alignment wrapText="1"/>
    </xf>
    <xf numFmtId="166" fontId="57" fillId="0" borderId="0" xfId="0" applyNumberFormat="1" applyFont="1"/>
    <xf numFmtId="166" fontId="35" fillId="21" borderId="0" xfId="1" applyNumberFormat="1" applyFont="1" applyFill="1"/>
    <xf numFmtId="166" fontId="9" fillId="21" borderId="4" xfId="1" applyNumberFormat="1" applyFont="1" applyFill="1" applyBorder="1" applyAlignment="1" applyProtection="1">
      <alignment horizontal="center" vertical="center" wrapText="1"/>
    </xf>
    <xf numFmtId="166" fontId="7" fillId="21" borderId="4" xfId="1" applyNumberFormat="1" applyFont="1" applyFill="1" applyBorder="1" applyAlignment="1" applyProtection="1">
      <alignment vertical="center" wrapText="1"/>
    </xf>
    <xf numFmtId="166" fontId="4" fillId="21" borderId="0" xfId="1" applyNumberFormat="1" applyFont="1" applyFill="1" applyBorder="1" applyAlignment="1" applyProtection="1">
      <alignment vertical="center" wrapText="1"/>
    </xf>
    <xf numFmtId="0" fontId="35" fillId="21" borderId="0" xfId="0" applyFont="1" applyFill="1"/>
    <xf numFmtId="166" fontId="47" fillId="21" borderId="0" xfId="1" applyNumberFormat="1" applyFont="1" applyFill="1"/>
    <xf numFmtId="166" fontId="8" fillId="21" borderId="0" xfId="1" applyNumberFormat="1" applyFont="1" applyFill="1" applyAlignment="1">
      <alignment horizontal="center"/>
    </xf>
    <xf numFmtId="0" fontId="8" fillId="21" borderId="0" xfId="0" applyFont="1" applyFill="1" applyAlignment="1">
      <alignment horizontal="center"/>
    </xf>
    <xf numFmtId="10" fontId="35" fillId="21" borderId="0" xfId="3" applyNumberFormat="1" applyFont="1" applyFill="1"/>
    <xf numFmtId="10" fontId="47" fillId="21" borderId="0" xfId="3" applyNumberFormat="1" applyFont="1" applyFill="1"/>
    <xf numFmtId="10" fontId="9" fillId="21" borderId="4" xfId="3" applyNumberFormat="1" applyFont="1" applyFill="1" applyBorder="1" applyAlignment="1" applyProtection="1">
      <alignment horizontal="center" vertical="center" wrapText="1"/>
    </xf>
    <xf numFmtId="10" fontId="7" fillId="21" borderId="4" xfId="3" applyNumberFormat="1" applyFont="1" applyFill="1" applyBorder="1" applyAlignment="1" applyProtection="1">
      <alignment vertical="center" wrapText="1"/>
    </xf>
    <xf numFmtId="10" fontId="4" fillId="21" borderId="0" xfId="3" applyNumberFormat="1" applyFont="1" applyFill="1" applyBorder="1" applyAlignment="1" applyProtection="1">
      <alignment vertical="center" wrapText="1"/>
    </xf>
    <xf numFmtId="10" fontId="8" fillId="21" borderId="0" xfId="3" applyNumberFormat="1" applyFont="1" applyFill="1" applyAlignment="1">
      <alignment horizontal="center"/>
    </xf>
    <xf numFmtId="166" fontId="9" fillId="21" borderId="0" xfId="1" applyNumberFormat="1" applyFont="1" applyFill="1" applyAlignment="1">
      <alignment horizontal="center"/>
    </xf>
    <xf numFmtId="0" fontId="7" fillId="21" borderId="4" xfId="2" applyFont="1" applyFill="1" applyBorder="1" applyAlignment="1" applyProtection="1">
      <alignment vertical="center" wrapText="1"/>
    </xf>
    <xf numFmtId="0" fontId="0" fillId="21" borderId="4" xfId="0" applyFill="1" applyBorder="1"/>
    <xf numFmtId="171" fontId="14" fillId="21" borderId="0" xfId="1" applyNumberFormat="1" applyFont="1" applyFill="1"/>
    <xf numFmtId="0" fontId="0" fillId="21" borderId="0" xfId="0" applyFill="1"/>
    <xf numFmtId="166" fontId="0" fillId="21" borderId="0" xfId="1" applyNumberFormat="1" applyFont="1" applyFill="1"/>
    <xf numFmtId="0" fontId="7" fillId="24" borderId="4" xfId="2" applyFont="1" applyFill="1" applyBorder="1" applyAlignment="1" applyProtection="1">
      <alignment vertical="center" wrapText="1"/>
    </xf>
    <xf numFmtId="0" fontId="0" fillId="24" borderId="4" xfId="0" applyFill="1" applyBorder="1"/>
    <xf numFmtId="166" fontId="7" fillId="24" borderId="4" xfId="1" applyNumberFormat="1" applyFont="1" applyFill="1" applyBorder="1" applyAlignment="1" applyProtection="1">
      <alignment vertical="center" wrapText="1"/>
    </xf>
    <xf numFmtId="171" fontId="14" fillId="24" borderId="0" xfId="1" applyNumberFormat="1" applyFont="1" applyFill="1"/>
    <xf numFmtId="0" fontId="0" fillId="24" borderId="0" xfId="0" applyFill="1"/>
    <xf numFmtId="166" fontId="0" fillId="24" borderId="0" xfId="1" applyNumberFormat="1" applyFont="1" applyFill="1"/>
    <xf numFmtId="0" fontId="7" fillId="22" borderId="4" xfId="2" applyFont="1" applyFill="1" applyBorder="1" applyAlignment="1" applyProtection="1">
      <alignment vertical="center" wrapText="1"/>
    </xf>
    <xf numFmtId="0" fontId="0" fillId="22" borderId="4" xfId="0" applyFill="1" applyBorder="1"/>
    <xf numFmtId="166" fontId="7" fillId="22" borderId="4" xfId="1" applyNumberFormat="1" applyFont="1" applyFill="1" applyBorder="1" applyAlignment="1" applyProtection="1">
      <alignment vertical="center" wrapText="1"/>
    </xf>
    <xf numFmtId="171" fontId="14" fillId="22" borderId="0" xfId="1" applyNumberFormat="1" applyFont="1" applyFill="1"/>
    <xf numFmtId="0" fontId="0" fillId="22" borderId="0" xfId="0" applyFill="1"/>
    <xf numFmtId="166" fontId="0" fillId="22" borderId="0" xfId="1" applyNumberFormat="1" applyFont="1" applyFill="1"/>
    <xf numFmtId="0" fontId="0" fillId="0" borderId="0" xfId="0" applyAlignment="1">
      <alignment horizontal="center"/>
    </xf>
    <xf numFmtId="0" fontId="4" fillId="3" borderId="4" xfId="2" applyFont="1" applyFill="1" applyBorder="1" applyAlignment="1" applyProtection="1">
      <alignment horizontal="center" vertical="center" wrapText="1"/>
    </xf>
    <xf numFmtId="0" fontId="7" fillId="22" borderId="4" xfId="2" applyFont="1" applyFill="1" applyBorder="1" applyAlignment="1" applyProtection="1">
      <alignment horizontal="center" vertical="center" wrapText="1"/>
    </xf>
    <xf numFmtId="0" fontId="7" fillId="21" borderId="4" xfId="2" applyFont="1" applyFill="1" applyBorder="1" applyAlignment="1" applyProtection="1">
      <alignment horizontal="center" vertical="center" wrapText="1"/>
    </xf>
    <xf numFmtId="0" fontId="7" fillId="24" borderId="4" xfId="2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center"/>
    </xf>
    <xf numFmtId="165" fontId="0" fillId="21" borderId="0" xfId="1" applyNumberFormat="1" applyFont="1" applyFill="1"/>
    <xf numFmtId="43" fontId="0" fillId="21" borderId="0" xfId="1" applyFont="1" applyFill="1"/>
    <xf numFmtId="166" fontId="17" fillId="21" borderId="3" xfId="1" applyNumberFormat="1" applyFont="1" applyFill="1" applyBorder="1" applyAlignment="1">
      <alignment horizontal="justify" vertical="justify" textRotation="180"/>
    </xf>
    <xf numFmtId="165" fontId="17" fillId="21" borderId="3" xfId="1" applyNumberFormat="1" applyFont="1" applyFill="1" applyBorder="1" applyAlignment="1">
      <alignment horizontal="justify" vertical="justify" textRotation="180"/>
    </xf>
    <xf numFmtId="43" fontId="17" fillId="21" borderId="3" xfId="1" applyFont="1" applyFill="1" applyBorder="1" applyAlignment="1">
      <alignment horizontal="justify" vertical="justify" textRotation="180"/>
    </xf>
    <xf numFmtId="166" fontId="24" fillId="21" borderId="3" xfId="1" applyNumberFormat="1" applyFont="1" applyFill="1" applyBorder="1"/>
    <xf numFmtId="165" fontId="0" fillId="22" borderId="0" xfId="1" applyNumberFormat="1" applyFont="1" applyFill="1"/>
    <xf numFmtId="43" fontId="0" fillId="22" borderId="0" xfId="1" applyFont="1" applyFill="1"/>
    <xf numFmtId="166" fontId="17" fillId="22" borderId="3" xfId="1" applyNumberFormat="1" applyFont="1" applyFill="1" applyBorder="1" applyAlignment="1">
      <alignment horizontal="justify" vertical="justify" textRotation="180"/>
    </xf>
    <xf numFmtId="165" fontId="17" fillId="22" borderId="3" xfId="1" applyNumberFormat="1" applyFont="1" applyFill="1" applyBorder="1" applyAlignment="1">
      <alignment horizontal="justify" vertical="justify" textRotation="180"/>
    </xf>
    <xf numFmtId="43" fontId="17" fillId="22" borderId="3" xfId="1" applyFont="1" applyFill="1" applyBorder="1" applyAlignment="1">
      <alignment horizontal="justify" vertical="justify" textRotation="180"/>
    </xf>
    <xf numFmtId="166" fontId="24" fillId="22" borderId="3" xfId="1" applyNumberFormat="1" applyFont="1" applyFill="1" applyBorder="1"/>
    <xf numFmtId="165" fontId="0" fillId="24" borderId="0" xfId="1" applyNumberFormat="1" applyFont="1" applyFill="1"/>
    <xf numFmtId="165" fontId="17" fillId="24" borderId="3" xfId="1" applyNumberFormat="1" applyFont="1" applyFill="1" applyBorder="1" applyAlignment="1">
      <alignment horizontal="justify" vertical="justify" textRotation="180"/>
    </xf>
    <xf numFmtId="166" fontId="24" fillId="24" borderId="3" xfId="1" applyNumberFormat="1" applyFont="1" applyFill="1" applyBorder="1"/>
    <xf numFmtId="169" fontId="49" fillId="0" borderId="0" xfId="1" applyNumberFormat="1" applyFont="1"/>
    <xf numFmtId="169" fontId="9" fillId="0" borderId="4" xfId="1" applyNumberFormat="1" applyFont="1" applyFill="1" applyBorder="1" applyAlignment="1" applyProtection="1">
      <alignment horizontal="center" vertical="center" wrapText="1"/>
    </xf>
    <xf numFmtId="169" fontId="4" fillId="3" borderId="4" xfId="1" applyNumberFormat="1" applyFont="1" applyFill="1" applyBorder="1" applyAlignment="1" applyProtection="1">
      <alignment vertical="center" wrapText="1"/>
    </xf>
    <xf numFmtId="169" fontId="7" fillId="0" borderId="4" xfId="1" applyNumberFormat="1" applyFont="1" applyFill="1" applyBorder="1" applyAlignment="1" applyProtection="1">
      <alignment vertical="center" wrapText="1"/>
    </xf>
    <xf numFmtId="169" fontId="7" fillId="22" borderId="4" xfId="1" applyNumberFormat="1" applyFont="1" applyFill="1" applyBorder="1" applyAlignment="1" applyProtection="1">
      <alignment vertical="center" wrapText="1"/>
    </xf>
    <xf numFmtId="169" fontId="7" fillId="21" borderId="4" xfId="1" applyNumberFormat="1" applyFont="1" applyFill="1" applyBorder="1" applyAlignment="1" applyProtection="1">
      <alignment vertical="center" wrapText="1"/>
    </xf>
    <xf numFmtId="169" fontId="7" fillId="24" borderId="4" xfId="1" applyNumberFormat="1" applyFont="1" applyFill="1" applyBorder="1" applyAlignment="1" applyProtection="1">
      <alignment vertical="center" wrapText="1"/>
    </xf>
    <xf numFmtId="166" fontId="9" fillId="24" borderId="4" xfId="1" applyNumberFormat="1" applyFont="1" applyFill="1" applyBorder="1" applyAlignment="1" applyProtection="1">
      <alignment horizontal="center" vertical="center" wrapText="1"/>
    </xf>
    <xf numFmtId="166" fontId="4" fillId="24" borderId="4" xfId="1" applyNumberFormat="1" applyFont="1" applyFill="1" applyBorder="1" applyAlignment="1" applyProtection="1">
      <alignment vertical="center" wrapText="1"/>
    </xf>
    <xf numFmtId="0" fontId="62" fillId="0" borderId="0" xfId="0" applyFont="1"/>
    <xf numFmtId="0" fontId="63" fillId="0" borderId="0" xfId="4" applyFont="1"/>
    <xf numFmtId="0" fontId="63" fillId="0" borderId="12" xfId="4" applyFont="1" applyBorder="1" applyAlignment="1">
      <alignment horizontal="center"/>
    </xf>
    <xf numFmtId="9" fontId="63" fillId="0" borderId="12" xfId="5" applyFont="1" applyBorder="1" applyAlignment="1">
      <alignment horizontal="center"/>
    </xf>
    <xf numFmtId="0" fontId="63" fillId="25" borderId="13" xfId="4" applyFont="1" applyFill="1" applyBorder="1" applyAlignment="1">
      <alignment horizontal="center"/>
    </xf>
    <xf numFmtId="9" fontId="63" fillId="25" borderId="13" xfId="5" applyFont="1" applyFill="1" applyBorder="1" applyAlignment="1">
      <alignment horizontal="center"/>
    </xf>
    <xf numFmtId="9" fontId="63" fillId="0" borderId="0" xfId="4" applyNumberFormat="1" applyFont="1"/>
    <xf numFmtId="0" fontId="63" fillId="0" borderId="13" xfId="4" applyFont="1" applyBorder="1" applyAlignment="1">
      <alignment horizontal="center"/>
    </xf>
    <xf numFmtId="9" fontId="63" fillId="0" borderId="13" xfId="5" applyFont="1" applyBorder="1" applyAlignment="1">
      <alignment horizontal="center"/>
    </xf>
    <xf numFmtId="0" fontId="63" fillId="26" borderId="13" xfId="4" applyFont="1" applyFill="1" applyBorder="1" applyAlignment="1">
      <alignment horizontal="center"/>
    </xf>
    <xf numFmtId="0" fontId="64" fillId="25" borderId="13" xfId="4" applyFont="1" applyFill="1" applyBorder="1" applyAlignment="1">
      <alignment horizontal="center"/>
    </xf>
    <xf numFmtId="0" fontId="63" fillId="27" borderId="13" xfId="4" applyFont="1" applyFill="1" applyBorder="1" applyAlignment="1">
      <alignment horizontal="center"/>
    </xf>
    <xf numFmtId="0" fontId="63" fillId="0" borderId="13" xfId="4" applyFont="1" applyFill="1" applyBorder="1" applyAlignment="1">
      <alignment horizontal="center"/>
    </xf>
    <xf numFmtId="9" fontId="63" fillId="0" borderId="13" xfId="5" applyFont="1" applyFill="1" applyBorder="1" applyAlignment="1">
      <alignment horizontal="center"/>
    </xf>
    <xf numFmtId="9" fontId="63" fillId="27" borderId="13" xfId="5" applyFont="1" applyFill="1" applyBorder="1" applyAlignment="1">
      <alignment horizontal="center"/>
    </xf>
    <xf numFmtId="43" fontId="63" fillId="0" borderId="0" xfId="6" applyNumberFormat="1" applyFont="1" applyFill="1" applyBorder="1" applyAlignment="1" applyProtection="1"/>
    <xf numFmtId="9" fontId="63" fillId="0" borderId="0" xfId="5" applyFont="1" applyAlignment="1">
      <alignment horizontal="center"/>
    </xf>
    <xf numFmtId="0" fontId="63" fillId="0" borderId="0" xfId="4" applyFont="1" applyAlignment="1">
      <alignment horizontal="center"/>
    </xf>
    <xf numFmtId="9" fontId="35" fillId="0" borderId="0" xfId="3" applyFont="1"/>
    <xf numFmtId="9" fontId="0" fillId="22" borderId="0" xfId="3" applyFont="1" applyFill="1"/>
    <xf numFmtId="174" fontId="0" fillId="22" borderId="0" xfId="0" applyNumberFormat="1" applyFill="1"/>
    <xf numFmtId="166" fontId="0" fillId="21" borderId="0" xfId="0" applyNumberFormat="1" applyFill="1"/>
    <xf numFmtId="0" fontId="18" fillId="0" borderId="8" xfId="2" applyFont="1" applyFill="1" applyBorder="1" applyAlignment="1" applyProtection="1">
      <alignment horizontal="center" vertical="center" wrapText="1"/>
    </xf>
    <xf numFmtId="0" fontId="18" fillId="0" borderId="9" xfId="2" applyFont="1" applyFill="1" applyBorder="1" applyAlignment="1" applyProtection="1">
      <alignment horizontal="center" vertical="center" wrapText="1"/>
    </xf>
    <xf numFmtId="0" fontId="18" fillId="0" borderId="4" xfId="2" applyFont="1" applyFill="1" applyBorder="1" applyAlignment="1" applyProtection="1">
      <alignment horizontal="center" vertical="center" wrapText="1"/>
    </xf>
    <xf numFmtId="0" fontId="17" fillId="22" borderId="3" xfId="0" applyFont="1" applyFill="1" applyBorder="1" applyAlignment="1">
      <alignment horizontal="justify" vertical="justify" textRotation="180"/>
    </xf>
    <xf numFmtId="0" fontId="17" fillId="21" borderId="3" xfId="0" applyFont="1" applyFill="1" applyBorder="1" applyAlignment="1">
      <alignment horizontal="justify" vertical="justify" textRotation="180"/>
    </xf>
    <xf numFmtId="0" fontId="17" fillId="24" borderId="3" xfId="0" applyFont="1" applyFill="1" applyBorder="1" applyAlignment="1">
      <alignment horizontal="justify" vertical="justify" textRotation="180"/>
    </xf>
    <xf numFmtId="0" fontId="17" fillId="5" borderId="2" xfId="0" applyFont="1" applyFill="1" applyBorder="1" applyAlignment="1">
      <alignment horizontal="justify" vertical="justify" textRotation="180"/>
    </xf>
    <xf numFmtId="0" fontId="17" fillId="8" borderId="2" xfId="0" applyFont="1" applyFill="1" applyBorder="1" applyAlignment="1">
      <alignment horizontal="justify" vertical="justify" textRotation="180"/>
    </xf>
    <xf numFmtId="43" fontId="24" fillId="10" borderId="4" xfId="1" applyFont="1" applyFill="1" applyBorder="1"/>
    <xf numFmtId="0" fontId="17" fillId="10" borderId="4" xfId="0" applyFont="1" applyFill="1" applyBorder="1" applyAlignment="1">
      <alignment horizontal="justify" vertical="justify" textRotation="180"/>
    </xf>
    <xf numFmtId="43" fontId="66" fillId="11" borderId="4" xfId="1" applyFont="1" applyFill="1" applyBorder="1"/>
    <xf numFmtId="43" fontId="66" fillId="11" borderId="2" xfId="1" applyFont="1" applyFill="1" applyBorder="1"/>
    <xf numFmtId="166" fontId="66" fillId="11" borderId="4" xfId="1" applyNumberFormat="1" applyFont="1" applyFill="1" applyBorder="1"/>
    <xf numFmtId="0" fontId="66" fillId="11" borderId="4" xfId="0" applyFont="1" applyFill="1" applyBorder="1"/>
    <xf numFmtId="0" fontId="66" fillId="11" borderId="0" xfId="0" applyFont="1" applyFill="1"/>
    <xf numFmtId="166" fontId="6" fillId="11" borderId="0" xfId="0" applyNumberFormat="1" applyFont="1" applyFill="1"/>
    <xf numFmtId="0" fontId="6" fillId="11" borderId="0" xfId="0" applyFont="1" applyFill="1"/>
    <xf numFmtId="0" fontId="8" fillId="8" borderId="0" xfId="0" applyFont="1" applyFill="1"/>
    <xf numFmtId="166" fontId="9" fillId="27" borderId="4" xfId="1" applyNumberFormat="1" applyFont="1" applyFill="1" applyBorder="1" applyAlignment="1" applyProtection="1">
      <alignment horizontal="center" vertical="center" wrapText="1"/>
    </xf>
    <xf numFmtId="166" fontId="0" fillId="27" borderId="0" xfId="1" applyNumberFormat="1" applyFont="1" applyFill="1"/>
    <xf numFmtId="166" fontId="4" fillId="27" borderId="4" xfId="1" applyNumberFormat="1" applyFont="1" applyFill="1" applyBorder="1" applyAlignment="1" applyProtection="1">
      <alignment vertical="center" wrapText="1"/>
    </xf>
    <xf numFmtId="166" fontId="7" fillId="27" borderId="4" xfId="1" applyNumberFormat="1" applyFont="1" applyFill="1" applyBorder="1" applyAlignment="1" applyProtection="1">
      <alignment vertical="center" wrapText="1"/>
    </xf>
    <xf numFmtId="14" fontId="0" fillId="0" borderId="4" xfId="1" applyNumberFormat="1" applyFont="1" applyBorder="1" applyAlignment="1">
      <alignment horizontal="left"/>
    </xf>
    <xf numFmtId="9" fontId="0" fillId="0" borderId="4" xfId="3" applyFont="1" applyBorder="1" applyAlignment="1">
      <alignment horizontal="right"/>
    </xf>
    <xf numFmtId="166" fontId="0" fillId="0" borderId="4" xfId="1" applyNumberFormat="1" applyFont="1" applyBorder="1" applyAlignment="1">
      <alignment horizontal="right"/>
    </xf>
    <xf numFmtId="175" fontId="7" fillId="0" borderId="4" xfId="2" applyNumberFormat="1" applyFont="1" applyFill="1" applyBorder="1" applyAlignment="1" applyProtection="1">
      <alignment vertical="center" wrapText="1"/>
    </xf>
    <xf numFmtId="2" fontId="7" fillId="0" borderId="4" xfId="2" applyNumberFormat="1" applyFont="1" applyFill="1" applyBorder="1" applyAlignment="1" applyProtection="1">
      <alignment vertical="center" wrapText="1"/>
    </xf>
    <xf numFmtId="166" fontId="14" fillId="0" borderId="4" xfId="1" applyNumberFormat="1" applyFont="1" applyBorder="1" applyAlignment="1">
      <alignment horizontal="right"/>
    </xf>
    <xf numFmtId="165" fontId="7" fillId="22" borderId="4" xfId="1" applyNumberFormat="1" applyFont="1" applyFill="1" applyBorder="1" applyAlignment="1" applyProtection="1">
      <alignment vertical="center" wrapText="1"/>
    </xf>
    <xf numFmtId="43" fontId="7" fillId="22" borderId="4" xfId="1" applyFont="1" applyFill="1" applyBorder="1" applyAlignment="1" applyProtection="1">
      <alignment vertical="center" wrapText="1"/>
    </xf>
    <xf numFmtId="0" fontId="7" fillId="0" borderId="4" xfId="2" applyFont="1" applyFill="1" applyBorder="1" applyAlignment="1" applyProtection="1">
      <alignment vertical="center" wrapText="1"/>
    </xf>
    <xf numFmtId="166" fontId="7" fillId="0" borderId="4" xfId="1" applyNumberFormat="1" applyFont="1" applyFill="1" applyBorder="1" applyAlignment="1" applyProtection="1">
      <alignment vertical="center" wrapText="1"/>
    </xf>
    <xf numFmtId="0" fontId="4" fillId="2" borderId="4" xfId="2" applyFont="1" applyFill="1" applyBorder="1" applyAlignment="1" applyProtection="1">
      <alignment vertical="center" wrapText="1"/>
    </xf>
    <xf numFmtId="0" fontId="0" fillId="0" borderId="4" xfId="0" applyBorder="1"/>
    <xf numFmtId="0" fontId="0" fillId="0" borderId="4" xfId="0" applyFill="1" applyBorder="1"/>
    <xf numFmtId="0" fontId="44" fillId="0" borderId="4" xfId="0" applyFont="1" applyBorder="1"/>
    <xf numFmtId="14" fontId="2" fillId="0" borderId="0" xfId="1" applyNumberFormat="1" applyFont="1"/>
    <xf numFmtId="0" fontId="51" fillId="8" borderId="4" xfId="2" applyFont="1" applyFill="1" applyBorder="1" applyAlignment="1" applyProtection="1">
      <alignment vertical="center" wrapText="1"/>
    </xf>
    <xf numFmtId="0" fontId="50" fillId="18" borderId="0" xfId="0" applyFont="1" applyFill="1"/>
    <xf numFmtId="0" fontId="44" fillId="19" borderId="0" xfId="0" applyFont="1" applyFill="1" applyAlignment="1">
      <alignment horizontal="center"/>
    </xf>
    <xf numFmtId="166" fontId="44" fillId="19" borderId="23" xfId="1" applyNumberFormat="1" applyFont="1" applyFill="1" applyBorder="1" applyAlignment="1">
      <alignment horizontal="center"/>
    </xf>
    <xf numFmtId="166" fontId="44" fillId="19" borderId="24" xfId="1" applyNumberFormat="1" applyFont="1" applyFill="1" applyBorder="1" applyAlignment="1">
      <alignment horizontal="center"/>
    </xf>
    <xf numFmtId="0" fontId="45" fillId="18" borderId="0" xfId="0" applyFont="1" applyFill="1"/>
    <xf numFmtId="166" fontId="35" fillId="0" borderId="0" xfId="0" applyNumberFormat="1" applyFont="1" applyFill="1"/>
    <xf numFmtId="0" fontId="51" fillId="0" borderId="4" xfId="2" applyFont="1" applyFill="1" applyBorder="1" applyAlignment="1" applyProtection="1">
      <alignment horizontal="center" vertical="center" wrapText="1"/>
    </xf>
    <xf numFmtId="9" fontId="51" fillId="0" borderId="4" xfId="3" applyFont="1" applyFill="1" applyBorder="1" applyAlignment="1" applyProtection="1">
      <alignment horizontal="center" vertical="center" wrapText="1"/>
    </xf>
    <xf numFmtId="166" fontId="51" fillId="19" borderId="4" xfId="1" applyNumberFormat="1" applyFont="1" applyFill="1" applyBorder="1" applyAlignment="1" applyProtection="1">
      <alignment horizontal="center" vertical="center" wrapText="1"/>
    </xf>
    <xf numFmtId="166" fontId="51" fillId="0" borderId="4" xfId="1" applyNumberFormat="1" applyFont="1" applyFill="1" applyBorder="1" applyAlignment="1" applyProtection="1">
      <alignment horizontal="center" vertical="center" wrapText="1"/>
    </xf>
    <xf numFmtId="165" fontId="51" fillId="0" borderId="4" xfId="1" applyNumberFormat="1" applyFont="1" applyFill="1" applyBorder="1" applyAlignment="1" applyProtection="1">
      <alignment horizontal="center" vertical="center" wrapText="1"/>
    </xf>
    <xf numFmtId="0" fontId="57" fillId="18" borderId="4" xfId="2" applyFont="1" applyFill="1" applyBorder="1" applyAlignment="1" applyProtection="1">
      <alignment vertical="center" wrapText="1"/>
    </xf>
    <xf numFmtId="0" fontId="51" fillId="19" borderId="4" xfId="2" applyFont="1" applyFill="1" applyBorder="1" applyAlignment="1" applyProtection="1">
      <alignment vertical="center" wrapText="1"/>
    </xf>
    <xf numFmtId="14" fontId="51" fillId="19" borderId="4" xfId="2" applyNumberFormat="1" applyFont="1" applyFill="1" applyBorder="1" applyAlignment="1" applyProtection="1">
      <alignment vertical="center" wrapText="1"/>
    </xf>
    <xf numFmtId="166" fontId="51" fillId="19" borderId="4" xfId="1" applyNumberFormat="1" applyFont="1" applyFill="1" applyBorder="1" applyAlignment="1" applyProtection="1">
      <alignment horizontal="center" vertical="center"/>
    </xf>
    <xf numFmtId="9" fontId="51" fillId="19" borderId="4" xfId="3" applyFont="1" applyFill="1" applyBorder="1" applyAlignment="1" applyProtection="1">
      <alignment horizontal="center" vertical="center"/>
    </xf>
    <xf numFmtId="166" fontId="51" fillId="19" borderId="4" xfId="1" applyNumberFormat="1" applyFont="1" applyFill="1" applyBorder="1" applyAlignment="1" applyProtection="1">
      <alignment vertical="center" wrapText="1"/>
    </xf>
    <xf numFmtId="0" fontId="51" fillId="19" borderId="4" xfId="2" applyFont="1" applyFill="1" applyBorder="1" applyAlignment="1" applyProtection="1">
      <alignment horizontal="center" vertical="center" wrapText="1"/>
    </xf>
    <xf numFmtId="165" fontId="57" fillId="19" borderId="4" xfId="1" applyNumberFormat="1" applyFont="1" applyFill="1" applyBorder="1" applyAlignment="1" applyProtection="1">
      <alignment vertical="center" wrapText="1"/>
    </xf>
    <xf numFmtId="166" fontId="57" fillId="19" borderId="4" xfId="1" applyNumberFormat="1" applyFont="1" applyFill="1" applyBorder="1" applyAlignment="1" applyProtection="1">
      <alignment vertical="center" wrapText="1"/>
    </xf>
    <xf numFmtId="166" fontId="57" fillId="19" borderId="1" xfId="1" applyNumberFormat="1" applyFont="1" applyFill="1" applyBorder="1" applyAlignment="1" applyProtection="1">
      <alignment vertical="center" wrapText="1"/>
    </xf>
    <xf numFmtId="0" fontId="49" fillId="0" borderId="0" xfId="0" applyFont="1"/>
    <xf numFmtId="0" fontId="69" fillId="0" borderId="0" xfId="0" applyFont="1"/>
    <xf numFmtId="0" fontId="70" fillId="0" borderId="0" xfId="0" applyFont="1"/>
    <xf numFmtId="0" fontId="16" fillId="5" borderId="4" xfId="0" applyFont="1" applyFill="1" applyBorder="1" applyAlignment="1">
      <alignment horizontal="justify" vertical="justify" textRotation="180"/>
    </xf>
    <xf numFmtId="0" fontId="16" fillId="5" borderId="3" xfId="0" applyFont="1" applyFill="1" applyBorder="1" applyAlignment="1">
      <alignment horizontal="justify" vertical="justify" textRotation="180"/>
    </xf>
    <xf numFmtId="0" fontId="16" fillId="8" borderId="3" xfId="0" applyFont="1" applyFill="1" applyBorder="1" applyAlignment="1">
      <alignment horizontal="justify" vertical="justify" textRotation="180"/>
    </xf>
    <xf numFmtId="0" fontId="49" fillId="22" borderId="0" xfId="0" applyFont="1" applyFill="1"/>
    <xf numFmtId="0" fontId="49" fillId="21" borderId="0" xfId="0" applyFont="1" applyFill="1"/>
    <xf numFmtId="0" fontId="49" fillId="24" borderId="0" xfId="0" applyFont="1" applyFill="1"/>
    <xf numFmtId="0" fontId="9" fillId="4" borderId="4" xfId="2" applyFont="1" applyFill="1" applyBorder="1" applyAlignment="1" applyProtection="1">
      <alignment horizontal="center" vertical="center" wrapText="1"/>
    </xf>
    <xf numFmtId="0" fontId="9" fillId="0" borderId="8" xfId="2" applyFont="1" applyFill="1" applyBorder="1" applyAlignment="1" applyProtection="1">
      <alignment horizontal="center" vertical="center" wrapText="1"/>
    </xf>
    <xf numFmtId="0" fontId="9" fillId="4" borderId="7" xfId="2" applyFont="1" applyFill="1" applyBorder="1" applyAlignment="1" applyProtection="1">
      <alignment horizontal="center" vertical="center" wrapText="1"/>
    </xf>
    <xf numFmtId="0" fontId="9" fillId="0" borderId="9" xfId="2" applyFont="1" applyFill="1" applyBorder="1" applyAlignment="1" applyProtection="1">
      <alignment horizontal="center" vertical="center" wrapText="1"/>
    </xf>
    <xf numFmtId="0" fontId="16" fillId="4" borderId="6" xfId="0" applyFont="1" applyFill="1" applyBorder="1" applyAlignment="1">
      <alignment horizontal="justify" vertical="justify" textRotation="180"/>
    </xf>
    <xf numFmtId="43" fontId="16" fillId="5" borderId="3" xfId="0" applyNumberFormat="1" applyFont="1" applyFill="1" applyBorder="1" applyAlignment="1">
      <alignment horizontal="justify" vertical="justify" textRotation="180"/>
    </xf>
    <xf numFmtId="0" fontId="16" fillId="4" borderId="2" xfId="0" applyFont="1" applyFill="1" applyBorder="1" applyAlignment="1">
      <alignment horizontal="justify" vertical="justify" textRotation="180"/>
    </xf>
    <xf numFmtId="0" fontId="16" fillId="22" borderId="3" xfId="0" applyFont="1" applyFill="1" applyBorder="1" applyAlignment="1">
      <alignment horizontal="justify" vertical="justify" textRotation="180"/>
    </xf>
    <xf numFmtId="0" fontId="16" fillId="21" borderId="3" xfId="0" applyFont="1" applyFill="1" applyBorder="1" applyAlignment="1">
      <alignment horizontal="justify" vertical="justify" textRotation="180"/>
    </xf>
    <xf numFmtId="0" fontId="16" fillId="24" borderId="3" xfId="0" applyFont="1" applyFill="1" applyBorder="1" applyAlignment="1">
      <alignment horizontal="justify" vertical="justify" textRotation="180"/>
    </xf>
    <xf numFmtId="0" fontId="71" fillId="0" borderId="0" xfId="0" applyFont="1" applyAlignment="1">
      <alignment horizontal="justify" vertical="justify" textRotation="180"/>
    </xf>
    <xf numFmtId="0" fontId="16" fillId="8" borderId="2" xfId="0" applyFont="1" applyFill="1" applyBorder="1" applyAlignment="1">
      <alignment horizontal="justify" vertical="justify" textRotation="180"/>
    </xf>
    <xf numFmtId="0" fontId="9" fillId="0" borderId="4" xfId="2" applyFont="1" applyFill="1" applyBorder="1" applyAlignment="1" applyProtection="1">
      <alignment horizontal="center" vertical="center" wrapText="1"/>
    </xf>
    <xf numFmtId="166" fontId="57" fillId="0" borderId="0" xfId="1" applyNumberFormat="1" applyFont="1"/>
    <xf numFmtId="0" fontId="57" fillId="0" borderId="0" xfId="0" applyFont="1" applyAlignment="1">
      <alignment horizontal="center"/>
    </xf>
    <xf numFmtId="166" fontId="57" fillId="0" borderId="0" xfId="0" applyNumberFormat="1" applyFont="1" applyAlignment="1">
      <alignment horizontal="center"/>
    </xf>
    <xf numFmtId="166" fontId="57" fillId="0" borderId="0" xfId="1" applyNumberFormat="1" applyFont="1" applyFill="1" applyAlignment="1">
      <alignment horizontal="center"/>
    </xf>
    <xf numFmtId="165" fontId="57" fillId="0" borderId="0" xfId="1" applyNumberFormat="1" applyFont="1"/>
    <xf numFmtId="166" fontId="57" fillId="0" borderId="0" xfId="1" applyNumberFormat="1" applyFont="1" applyFill="1"/>
    <xf numFmtId="166" fontId="57" fillId="19" borderId="0" xfId="1" applyNumberFormat="1" applyFont="1" applyFill="1"/>
    <xf numFmtId="166" fontId="12" fillId="0" borderId="0" xfId="1" applyNumberFormat="1" applyFont="1"/>
    <xf numFmtId="166" fontId="9" fillId="0" borderId="0" xfId="1" applyNumberFormat="1" applyFont="1"/>
    <xf numFmtId="170" fontId="57" fillId="0" borderId="0" xfId="1" applyNumberFormat="1" applyFont="1"/>
    <xf numFmtId="9" fontId="57" fillId="0" borderId="0" xfId="3" applyFont="1"/>
    <xf numFmtId="166" fontId="51" fillId="12" borderId="1" xfId="1" applyNumberFormat="1" applyFont="1" applyFill="1" applyBorder="1" applyAlignment="1" applyProtection="1">
      <alignment vertical="center" wrapText="1"/>
    </xf>
    <xf numFmtId="165" fontId="51" fillId="12" borderId="1" xfId="1" applyNumberFormat="1" applyFont="1" applyFill="1" applyBorder="1" applyAlignment="1" applyProtection="1">
      <alignment vertical="center" wrapText="1"/>
    </xf>
    <xf numFmtId="166" fontId="51" fillId="19" borderId="1" xfId="1" applyNumberFormat="1" applyFont="1" applyFill="1" applyBorder="1" applyAlignment="1" applyProtection="1">
      <alignment vertical="center" wrapText="1"/>
    </xf>
    <xf numFmtId="9" fontId="51" fillId="8" borderId="4" xfId="3" applyFont="1" applyFill="1" applyBorder="1" applyAlignment="1" applyProtection="1">
      <alignment vertical="center" wrapText="1"/>
    </xf>
    <xf numFmtId="166" fontId="57" fillId="8" borderId="4" xfId="1" applyNumberFormat="1" applyFont="1" applyFill="1" applyBorder="1" applyAlignment="1" applyProtection="1">
      <alignment vertical="center" wrapText="1"/>
    </xf>
    <xf numFmtId="0" fontId="51" fillId="8" borderId="4" xfId="2" applyFont="1" applyFill="1" applyBorder="1" applyAlignment="1" applyProtection="1">
      <alignment horizontal="center" vertical="center" wrapText="1"/>
    </xf>
    <xf numFmtId="165" fontId="51" fillId="8" borderId="4" xfId="1" applyNumberFormat="1" applyFont="1" applyFill="1" applyBorder="1" applyAlignment="1" applyProtection="1">
      <alignment vertical="center" wrapText="1"/>
    </xf>
    <xf numFmtId="166" fontId="51" fillId="8" borderId="4" xfId="1" applyNumberFormat="1" applyFont="1" applyFill="1" applyBorder="1" applyAlignment="1" applyProtection="1">
      <alignment vertical="center" wrapText="1"/>
    </xf>
    <xf numFmtId="14" fontId="57" fillId="18" borderId="4" xfId="2" applyNumberFormat="1" applyFont="1" applyFill="1" applyBorder="1" applyAlignment="1" applyProtection="1">
      <alignment vertical="center" wrapText="1"/>
    </xf>
    <xf numFmtId="0" fontId="57" fillId="18" borderId="4" xfId="2" applyFont="1" applyFill="1" applyBorder="1" applyAlignment="1" applyProtection="1">
      <alignment horizontal="center" vertical="center" wrapText="1"/>
    </xf>
    <xf numFmtId="166" fontId="57" fillId="18" borderId="4" xfId="1" applyNumberFormat="1" applyFont="1" applyFill="1" applyBorder="1" applyAlignment="1" applyProtection="1">
      <alignment vertical="center" wrapText="1"/>
    </xf>
    <xf numFmtId="165" fontId="57" fillId="18" borderId="4" xfId="1" applyNumberFormat="1" applyFont="1" applyFill="1" applyBorder="1" applyAlignment="1" applyProtection="1">
      <alignment vertical="center" wrapText="1"/>
    </xf>
    <xf numFmtId="166" fontId="51" fillId="18" borderId="4" xfId="1" applyNumberFormat="1" applyFont="1" applyFill="1" applyBorder="1" applyAlignment="1" applyProtection="1">
      <alignment vertical="center" wrapText="1"/>
    </xf>
    <xf numFmtId="166" fontId="57" fillId="18" borderId="4" xfId="1" applyNumberFormat="1" applyFont="1" applyFill="1" applyBorder="1" applyAlignment="1" applyProtection="1">
      <alignment horizontal="center" vertical="center"/>
    </xf>
    <xf numFmtId="9" fontId="57" fillId="18" borderId="4" xfId="3" applyFont="1" applyFill="1" applyBorder="1" applyAlignment="1" applyProtection="1">
      <alignment horizontal="center" vertical="center"/>
    </xf>
    <xf numFmtId="166" fontId="57" fillId="18" borderId="4" xfId="1" applyNumberFormat="1" applyFont="1" applyFill="1" applyBorder="1" applyAlignment="1" applyProtection="1">
      <alignment horizontal="center" vertical="center" wrapText="1"/>
    </xf>
    <xf numFmtId="165" fontId="57" fillId="8" borderId="4" xfId="1" applyNumberFormat="1" applyFont="1" applyFill="1" applyBorder="1" applyAlignment="1" applyProtection="1">
      <alignment vertical="center" wrapText="1"/>
    </xf>
    <xf numFmtId="166" fontId="12" fillId="0" borderId="0" xfId="1" applyNumberFormat="1" applyFont="1" applyFill="1"/>
    <xf numFmtId="166" fontId="12" fillId="19" borderId="0" xfId="1" applyNumberFormat="1" applyFont="1" applyFill="1"/>
    <xf numFmtId="0" fontId="51" fillId="0" borderId="0" xfId="2" applyFont="1" applyFill="1" applyBorder="1" applyAlignment="1" applyProtection="1">
      <alignment vertical="center" wrapText="1"/>
    </xf>
    <xf numFmtId="14" fontId="51" fillId="0" borderId="0" xfId="2" applyNumberFormat="1" applyFont="1" applyFill="1" applyBorder="1" applyAlignment="1" applyProtection="1">
      <alignment vertical="center" wrapText="1"/>
    </xf>
    <xf numFmtId="166" fontId="51" fillId="0" borderId="0" xfId="1" applyNumberFormat="1" applyFont="1" applyFill="1" applyBorder="1" applyAlignment="1" applyProtection="1">
      <alignment horizontal="center" vertical="center"/>
    </xf>
    <xf numFmtId="9" fontId="51" fillId="0" borderId="0" xfId="3" applyFont="1" applyFill="1" applyBorder="1" applyAlignment="1" applyProtection="1">
      <alignment horizontal="center" vertical="center"/>
    </xf>
    <xf numFmtId="166" fontId="51" fillId="0" borderId="0" xfId="1" applyNumberFormat="1" applyFont="1" applyFill="1" applyBorder="1" applyAlignment="1" applyProtection="1">
      <alignment vertical="center" wrapText="1"/>
    </xf>
    <xf numFmtId="0" fontId="51" fillId="0" borderId="0" xfId="2" applyFont="1" applyFill="1" applyBorder="1" applyAlignment="1" applyProtection="1">
      <alignment horizontal="center" vertical="center" wrapText="1"/>
    </xf>
    <xf numFmtId="165" fontId="51" fillId="0" borderId="0" xfId="1" applyNumberFormat="1" applyFont="1" applyFill="1" applyBorder="1" applyAlignment="1" applyProtection="1">
      <alignment vertical="center" wrapText="1"/>
    </xf>
    <xf numFmtId="166" fontId="57" fillId="0" borderId="16" xfId="1" applyNumberFormat="1" applyFont="1" applyFill="1" applyBorder="1" applyAlignment="1" applyProtection="1">
      <alignment vertical="center" wrapText="1"/>
    </xf>
    <xf numFmtId="166" fontId="51" fillId="0" borderId="16" xfId="1" applyNumberFormat="1" applyFont="1" applyFill="1" applyBorder="1" applyAlignment="1" applyProtection="1">
      <alignment vertical="center" wrapText="1"/>
    </xf>
    <xf numFmtId="9" fontId="12" fillId="0" borderId="0" xfId="3" applyFont="1"/>
    <xf numFmtId="0" fontId="12" fillId="0" borderId="0" xfId="0" applyFont="1" applyAlignment="1">
      <alignment horizontal="center"/>
    </xf>
    <xf numFmtId="166" fontId="12" fillId="19" borderId="0" xfId="1" applyNumberFormat="1" applyFont="1" applyFill="1" applyAlignment="1">
      <alignment horizontal="center"/>
    </xf>
    <xf numFmtId="165" fontId="12" fillId="0" borderId="0" xfId="1" applyNumberFormat="1" applyFont="1"/>
    <xf numFmtId="166" fontId="12" fillId="0" borderId="0" xfId="1" applyNumberFormat="1" applyFont="1" applyFill="1" applyBorder="1" applyAlignment="1" applyProtection="1">
      <alignment vertical="center" wrapText="1"/>
    </xf>
    <xf numFmtId="166" fontId="12" fillId="0" borderId="0" xfId="1" applyNumberFormat="1" applyFont="1" applyFill="1" applyBorder="1"/>
    <xf numFmtId="166" fontId="12" fillId="0" borderId="0" xfId="0" applyNumberFormat="1" applyFont="1"/>
    <xf numFmtId="166" fontId="9" fillId="0" borderId="0" xfId="1" applyNumberFormat="1" applyFont="1" applyFill="1" applyAlignment="1">
      <alignment horizontal="center"/>
    </xf>
    <xf numFmtId="0" fontId="9" fillId="0" borderId="0" xfId="0" applyFont="1"/>
    <xf numFmtId="166" fontId="9" fillId="0" borderId="0" xfId="1" applyNumberFormat="1" applyFont="1" applyFill="1"/>
    <xf numFmtId="43" fontId="51" fillId="0" borderId="0" xfId="1" applyFont="1" applyFill="1" applyBorder="1" applyAlignment="1" applyProtection="1">
      <alignment vertical="center" wrapText="1"/>
    </xf>
    <xf numFmtId="0" fontId="72" fillId="18" borderId="0" xfId="0" applyFont="1" applyFill="1"/>
    <xf numFmtId="0" fontId="62" fillId="18" borderId="0" xfId="0" applyFont="1" applyFill="1"/>
    <xf numFmtId="0" fontId="14" fillId="0" borderId="4" xfId="0" applyFont="1" applyBorder="1" applyAlignment="1">
      <alignment horizontal="center"/>
    </xf>
    <xf numFmtId="166" fontId="14" fillId="0" borderId="4" xfId="0" applyNumberFormat="1" applyFont="1" applyBorder="1"/>
    <xf numFmtId="166" fontId="14" fillId="0" borderId="4" xfId="0" applyNumberFormat="1" applyFont="1" applyBorder="1" applyAlignment="1">
      <alignment horizontal="center"/>
    </xf>
    <xf numFmtId="166" fontId="14" fillId="0" borderId="0" xfId="0" applyNumberFormat="1" applyFont="1"/>
    <xf numFmtId="166" fontId="20" fillId="0" borderId="0" xfId="0" applyNumberFormat="1" applyFont="1"/>
    <xf numFmtId="0" fontId="14" fillId="0" borderId="0" xfId="0" applyFont="1" applyBorder="1"/>
    <xf numFmtId="166" fontId="44" fillId="19" borderId="25" xfId="1" applyNumberFormat="1" applyFont="1" applyFill="1" applyBorder="1" applyAlignment="1">
      <alignment horizontal="center"/>
    </xf>
    <xf numFmtId="166" fontId="44" fillId="19" borderId="26" xfId="1" applyNumberFormat="1" applyFont="1" applyFill="1" applyBorder="1" applyAlignment="1">
      <alignment horizontal="center"/>
    </xf>
    <xf numFmtId="0" fontId="44" fillId="18" borderId="0" xfId="0" applyFont="1" applyFill="1" applyAlignment="1">
      <alignment horizontal="center"/>
    </xf>
    <xf numFmtId="165" fontId="73" fillId="10" borderId="4" xfId="1" applyNumberFormat="1" applyFont="1" applyFill="1" applyBorder="1"/>
    <xf numFmtId="0" fontId="63" fillId="0" borderId="0" xfId="0" applyFont="1"/>
    <xf numFmtId="0" fontId="72" fillId="0" borderId="0" xfId="0" applyFont="1"/>
    <xf numFmtId="166" fontId="57" fillId="19" borderId="0" xfId="1" applyNumberFormat="1" applyFont="1" applyFill="1" applyAlignment="1">
      <alignment horizontal="center"/>
    </xf>
    <xf numFmtId="166" fontId="51" fillId="19" borderId="0" xfId="1" applyNumberFormat="1" applyFont="1" applyFill="1" applyBorder="1" applyAlignment="1" applyProtection="1">
      <alignment vertical="center" wrapText="1"/>
    </xf>
    <xf numFmtId="0" fontId="45" fillId="0" borderId="4" xfId="0" applyFont="1" applyBorder="1"/>
    <xf numFmtId="0" fontId="59" fillId="18" borderId="4" xfId="2" applyFont="1" applyFill="1" applyBorder="1" applyAlignment="1" applyProtection="1">
      <alignment vertical="center" wrapText="1"/>
    </xf>
    <xf numFmtId="166" fontId="45" fillId="0" borderId="4" xfId="0" applyNumberFormat="1" applyFont="1" applyBorder="1"/>
    <xf numFmtId="166" fontId="45" fillId="19" borderId="17" xfId="1" applyNumberFormat="1" applyFont="1" applyFill="1" applyBorder="1" applyAlignment="1">
      <alignment horizontal="center"/>
    </xf>
    <xf numFmtId="166" fontId="45" fillId="19" borderId="18" xfId="1" applyNumberFormat="1" applyFont="1" applyFill="1" applyBorder="1" applyAlignment="1">
      <alignment horizontal="center"/>
    </xf>
    <xf numFmtId="166" fontId="59" fillId="19" borderId="17" xfId="1" applyNumberFormat="1" applyFont="1" applyFill="1" applyBorder="1" applyAlignment="1">
      <alignment horizontal="center"/>
    </xf>
    <xf numFmtId="166" fontId="59" fillId="19" borderId="18" xfId="1" applyNumberFormat="1" applyFont="1" applyFill="1" applyBorder="1" applyAlignment="1">
      <alignment horizontal="center"/>
    </xf>
    <xf numFmtId="0" fontId="54" fillId="0" borderId="0" xfId="0" applyFont="1"/>
    <xf numFmtId="22" fontId="44" fillId="0" borderId="0" xfId="0" applyNumberFormat="1" applyFont="1"/>
    <xf numFmtId="0" fontId="9" fillId="0" borderId="4" xfId="2" applyFont="1" applyFill="1" applyBorder="1" applyAlignment="1" applyProtection="1">
      <alignment horizontal="center" vertical="center" wrapText="1"/>
    </xf>
    <xf numFmtId="0" fontId="74" fillId="9" borderId="4" xfId="0" applyFont="1" applyFill="1" applyBorder="1"/>
    <xf numFmtId="0" fontId="75" fillId="9" borderId="4" xfId="0" applyFont="1" applyFill="1" applyBorder="1"/>
    <xf numFmtId="0" fontId="26" fillId="9" borderId="4" xfId="0" applyFont="1" applyFill="1" applyBorder="1"/>
    <xf numFmtId="0" fontId="76" fillId="9" borderId="4" xfId="0" applyFont="1" applyFill="1" applyBorder="1"/>
    <xf numFmtId="166" fontId="45" fillId="19" borderId="19" xfId="1" applyNumberFormat="1" applyFont="1" applyFill="1" applyBorder="1" applyAlignment="1">
      <alignment horizontal="center"/>
    </xf>
    <xf numFmtId="166" fontId="45" fillId="19" borderId="20" xfId="1" applyNumberFormat="1" applyFont="1" applyFill="1" applyBorder="1" applyAlignment="1">
      <alignment horizontal="center"/>
    </xf>
    <xf numFmtId="0" fontId="9" fillId="0" borderId="8" xfId="2" applyFont="1" applyFill="1" applyBorder="1" applyAlignment="1" applyProtection="1">
      <alignment horizontal="center" vertical="center" wrapText="1"/>
    </xf>
    <xf numFmtId="0" fontId="9" fillId="0" borderId="9" xfId="2" applyFont="1" applyFill="1" applyBorder="1" applyAlignment="1" applyProtection="1">
      <alignment horizontal="center" vertical="center" wrapText="1"/>
    </xf>
    <xf numFmtId="0" fontId="9" fillId="0" borderId="4" xfId="2" applyFont="1" applyFill="1" applyBorder="1" applyAlignment="1" applyProtection="1">
      <alignment horizontal="center" vertical="center" wrapText="1"/>
    </xf>
    <xf numFmtId="0" fontId="74" fillId="0" borderId="0" xfId="0" applyFont="1"/>
    <xf numFmtId="0" fontId="49" fillId="0" borderId="4" xfId="0" applyFont="1" applyBorder="1"/>
    <xf numFmtId="0" fontId="63" fillId="18" borderId="0" xfId="0" applyFont="1" applyFill="1"/>
    <xf numFmtId="0" fontId="63" fillId="10" borderId="4" xfId="0" applyFont="1" applyFill="1" applyBorder="1"/>
    <xf numFmtId="165" fontId="52" fillId="10" borderId="4" xfId="1" applyNumberFormat="1" applyFont="1" applyFill="1" applyBorder="1"/>
    <xf numFmtId="0" fontId="75" fillId="22" borderId="4" xfId="0" applyFont="1" applyFill="1" applyBorder="1"/>
    <xf numFmtId="0" fontId="74" fillId="22" borderId="4" xfId="0" applyFont="1" applyFill="1" applyBorder="1"/>
    <xf numFmtId="0" fontId="26" fillId="22" borderId="4" xfId="0" applyFont="1" applyFill="1" applyBorder="1"/>
    <xf numFmtId="0" fontId="9" fillId="0" borderId="4" xfId="2" applyFont="1" applyFill="1" applyBorder="1" applyAlignment="1" applyProtection="1">
      <alignment horizontal="center" vertical="center" wrapText="1"/>
    </xf>
    <xf numFmtId="166" fontId="4" fillId="11" borderId="4" xfId="1" applyNumberFormat="1" applyFont="1" applyFill="1" applyBorder="1"/>
    <xf numFmtId="0" fontId="71" fillId="0" borderId="0" xfId="0" applyFont="1"/>
    <xf numFmtId="165" fontId="4" fillId="11" borderId="8" xfId="1" applyNumberFormat="1" applyFont="1" applyFill="1" applyBorder="1" applyAlignment="1">
      <alignment horizontal="center"/>
    </xf>
    <xf numFmtId="165" fontId="4" fillId="11" borderId="9" xfId="1" applyNumberFormat="1" applyFont="1" applyFill="1" applyBorder="1" applyAlignment="1">
      <alignment horizontal="center"/>
    </xf>
    <xf numFmtId="165" fontId="4" fillId="11" borderId="4" xfId="1" applyNumberFormat="1" applyFont="1" applyFill="1" applyBorder="1"/>
    <xf numFmtId="165" fontId="79" fillId="10" borderId="8" xfId="1" applyNumberFormat="1" applyFont="1" applyFill="1" applyBorder="1" applyAlignment="1">
      <alignment horizontal="center"/>
    </xf>
    <xf numFmtId="165" fontId="79" fillId="10" borderId="9" xfId="1" applyNumberFormat="1" applyFont="1" applyFill="1" applyBorder="1" applyAlignment="1">
      <alignment horizontal="center"/>
    </xf>
    <xf numFmtId="165" fontId="79" fillId="10" borderId="7" xfId="1" applyNumberFormat="1" applyFont="1" applyFill="1" applyBorder="1"/>
    <xf numFmtId="165" fontId="79" fillId="10" borderId="8" xfId="1" applyNumberFormat="1" applyFont="1" applyFill="1" applyBorder="1"/>
    <xf numFmtId="165" fontId="79" fillId="10" borderId="9" xfId="1" applyNumberFormat="1" applyFont="1" applyFill="1" applyBorder="1"/>
    <xf numFmtId="165" fontId="79" fillId="10" borderId="10" xfId="1" applyNumberFormat="1" applyFont="1" applyFill="1" applyBorder="1"/>
    <xf numFmtId="166" fontId="45" fillId="19" borderId="23" xfId="1" applyNumberFormat="1" applyFont="1" applyFill="1" applyBorder="1" applyAlignment="1">
      <alignment horizontal="center"/>
    </xf>
    <xf numFmtId="166" fontId="45" fillId="19" borderId="24" xfId="1" applyNumberFormat="1" applyFont="1" applyFill="1" applyBorder="1" applyAlignment="1">
      <alignment horizontal="center"/>
    </xf>
    <xf numFmtId="0" fontId="8" fillId="18" borderId="0" xfId="0" applyFont="1" applyFill="1"/>
    <xf numFmtId="0" fontId="35" fillId="18" borderId="0" xfId="0" applyFont="1" applyFill="1"/>
    <xf numFmtId="3" fontId="0" fillId="0" borderId="0" xfId="0" applyNumberFormat="1"/>
    <xf numFmtId="3" fontId="17" fillId="5" borderId="3" xfId="0" applyNumberFormat="1" applyFont="1" applyFill="1" applyBorder="1" applyAlignment="1">
      <alignment horizontal="justify" vertical="justify" textRotation="180"/>
    </xf>
    <xf numFmtId="3" fontId="17" fillId="8" borderId="3" xfId="0" applyNumberFormat="1" applyFont="1" applyFill="1" applyBorder="1" applyAlignment="1">
      <alignment horizontal="justify" vertical="justify" textRotation="180"/>
    </xf>
    <xf numFmtId="0" fontId="26" fillId="19" borderId="0" xfId="0" applyFont="1" applyFill="1"/>
    <xf numFmtId="166" fontId="0" fillId="19" borderId="0" xfId="0" applyNumberFormat="1" applyFill="1"/>
    <xf numFmtId="0" fontId="73" fillId="18" borderId="4" xfId="0" applyFont="1" applyFill="1" applyBorder="1" applyAlignment="1">
      <alignment horizontal="center"/>
    </xf>
    <xf numFmtId="176" fontId="45" fillId="19" borderId="17" xfId="1" applyNumberFormat="1" applyFont="1" applyFill="1" applyBorder="1" applyAlignment="1">
      <alignment horizontal="center"/>
    </xf>
    <xf numFmtId="176" fontId="59" fillId="19" borderId="17" xfId="1" applyNumberFormat="1" applyFont="1" applyFill="1" applyBorder="1" applyAlignment="1">
      <alignment horizontal="center"/>
    </xf>
    <xf numFmtId="176" fontId="45" fillId="19" borderId="23" xfId="1" applyNumberFormat="1" applyFont="1" applyFill="1" applyBorder="1" applyAlignment="1">
      <alignment horizontal="center"/>
    </xf>
    <xf numFmtId="176" fontId="45" fillId="19" borderId="19" xfId="1" applyNumberFormat="1" applyFont="1" applyFill="1" applyBorder="1" applyAlignment="1">
      <alignment horizontal="center"/>
    </xf>
    <xf numFmtId="176" fontId="44" fillId="19" borderId="23" xfId="1" applyNumberFormat="1" applyFont="1" applyFill="1" applyBorder="1" applyAlignment="1">
      <alignment horizontal="center"/>
    </xf>
    <xf numFmtId="176" fontId="44" fillId="19" borderId="25" xfId="1" applyNumberFormat="1" applyFont="1" applyFill="1" applyBorder="1" applyAlignment="1">
      <alignment horizontal="center"/>
    </xf>
    <xf numFmtId="176" fontId="44" fillId="19" borderId="0" xfId="0" applyNumberFormat="1" applyFont="1" applyFill="1" applyAlignment="1">
      <alignment horizontal="center"/>
    </xf>
    <xf numFmtId="0" fontId="0" fillId="28" borderId="0" xfId="0" applyFill="1"/>
    <xf numFmtId="0" fontId="18" fillId="28" borderId="4" xfId="2" applyFont="1" applyFill="1" applyBorder="1" applyAlignment="1" applyProtection="1">
      <alignment horizontal="center" vertical="center" wrapText="1"/>
    </xf>
    <xf numFmtId="0" fontId="17" fillId="28" borderId="6" xfId="0" applyFont="1" applyFill="1" applyBorder="1" applyAlignment="1">
      <alignment horizontal="justify" vertical="justify" textRotation="180"/>
    </xf>
    <xf numFmtId="0" fontId="22" fillId="28" borderId="6" xfId="0" applyFont="1" applyFill="1" applyBorder="1" applyAlignment="1">
      <alignment horizontal="justify" vertical="justify" textRotation="180"/>
    </xf>
    <xf numFmtId="166" fontId="17" fillId="28" borderId="3" xfId="0" applyNumberFormat="1" applyFont="1" applyFill="1" applyBorder="1" applyAlignment="1">
      <alignment horizontal="justify" vertical="justify" textRotation="180"/>
    </xf>
    <xf numFmtId="0" fontId="18" fillId="28" borderId="7" xfId="2" applyFont="1" applyFill="1" applyBorder="1" applyAlignment="1" applyProtection="1">
      <alignment horizontal="center" vertical="center" wrapText="1"/>
    </xf>
    <xf numFmtId="0" fontId="17" fillId="28" borderId="2" xfId="0" applyFont="1" applyFill="1" applyBorder="1" applyAlignment="1">
      <alignment horizontal="justify" vertical="justify" textRotation="180"/>
    </xf>
    <xf numFmtId="0" fontId="22" fillId="28" borderId="2" xfId="0" applyFont="1" applyFill="1" applyBorder="1" applyAlignment="1">
      <alignment horizontal="justify" vertical="justify" textRotation="180"/>
    </xf>
    <xf numFmtId="0" fontId="7" fillId="28" borderId="5" xfId="2" applyFont="1" applyFill="1" applyBorder="1" applyAlignment="1" applyProtection="1">
      <alignment vertical="center" wrapText="1"/>
    </xf>
    <xf numFmtId="0" fontId="4" fillId="28" borderId="5" xfId="2" applyFont="1" applyFill="1" applyBorder="1" applyAlignment="1" applyProtection="1">
      <alignment vertical="center" wrapText="1"/>
    </xf>
    <xf numFmtId="0" fontId="44" fillId="18" borderId="4" xfId="0" applyFont="1" applyFill="1" applyBorder="1" applyAlignment="1">
      <alignment horizontal="center"/>
    </xf>
    <xf numFmtId="0" fontId="44" fillId="19" borderId="4" xfId="0" applyFont="1" applyFill="1" applyBorder="1" applyAlignment="1">
      <alignment horizontal="center"/>
    </xf>
    <xf numFmtId="176" fontId="44" fillId="19" borderId="4" xfId="0" applyNumberFormat="1" applyFont="1" applyFill="1" applyBorder="1" applyAlignment="1">
      <alignment horizontal="center"/>
    </xf>
    <xf numFmtId="14" fontId="67" fillId="18" borderId="4" xfId="15" quotePrefix="1" applyNumberFormat="1" applyFont="1" applyFill="1" applyBorder="1" applyAlignment="1">
      <alignment horizontal="center" vertical="center"/>
    </xf>
    <xf numFmtId="14" fontId="59" fillId="18" borderId="4" xfId="2" applyNumberFormat="1" applyFont="1" applyFill="1" applyBorder="1" applyAlignment="1" applyProtection="1">
      <alignment vertical="center" wrapText="1"/>
    </xf>
    <xf numFmtId="166" fontId="45" fillId="18" borderId="17" xfId="1" applyNumberFormat="1" applyFont="1" applyFill="1" applyBorder="1" applyAlignment="1">
      <alignment horizontal="center"/>
    </xf>
    <xf numFmtId="166" fontId="45" fillId="18" borderId="18" xfId="1" applyNumberFormat="1" applyFont="1" applyFill="1" applyBorder="1" applyAlignment="1">
      <alignment horizontal="center"/>
    </xf>
    <xf numFmtId="166" fontId="59" fillId="18" borderId="17" xfId="1" applyNumberFormat="1" applyFont="1" applyFill="1" applyBorder="1" applyAlignment="1">
      <alignment horizontal="center"/>
    </xf>
    <xf numFmtId="166" fontId="59" fillId="18" borderId="18" xfId="1" applyNumberFormat="1" applyFont="1" applyFill="1" applyBorder="1" applyAlignment="1">
      <alignment horizontal="center"/>
    </xf>
    <xf numFmtId="14" fontId="59" fillId="18" borderId="4" xfId="2" quotePrefix="1" applyNumberFormat="1" applyFont="1" applyFill="1" applyBorder="1" applyAlignment="1" applyProtection="1">
      <alignment horizontal="right" vertical="center" wrapText="1"/>
    </xf>
    <xf numFmtId="14" fontId="59" fillId="0" borderId="4" xfId="2" applyNumberFormat="1" applyFont="1" applyFill="1" applyBorder="1" applyAlignment="1" applyProtection="1">
      <alignment vertical="center" wrapText="1"/>
    </xf>
    <xf numFmtId="14" fontId="59" fillId="0" borderId="4" xfId="2" quotePrefix="1" applyNumberFormat="1" applyFont="1" applyFill="1" applyBorder="1" applyAlignment="1" applyProtection="1">
      <alignment horizontal="right" vertical="center" wrapText="1"/>
    </xf>
    <xf numFmtId="166" fontId="45" fillId="18" borderId="23" xfId="1" applyNumberFormat="1" applyFont="1" applyFill="1" applyBorder="1" applyAlignment="1">
      <alignment horizontal="center"/>
    </xf>
    <xf numFmtId="166" fontId="45" fillId="18" borderId="24" xfId="1" applyNumberFormat="1" applyFont="1" applyFill="1" applyBorder="1" applyAlignment="1">
      <alignment horizontal="center"/>
    </xf>
    <xf numFmtId="166" fontId="45" fillId="18" borderId="19" xfId="1" applyNumberFormat="1" applyFont="1" applyFill="1" applyBorder="1" applyAlignment="1">
      <alignment horizontal="center"/>
    </xf>
    <xf numFmtId="166" fontId="45" fillId="18" borderId="20" xfId="1" applyNumberFormat="1" applyFont="1" applyFill="1" applyBorder="1" applyAlignment="1">
      <alignment horizontal="center"/>
    </xf>
    <xf numFmtId="14" fontId="67" fillId="0" borderId="1" xfId="2" applyNumberFormat="1" applyFont="1" applyFill="1" applyBorder="1" applyAlignment="1" applyProtection="1">
      <alignment vertical="center" wrapText="1"/>
    </xf>
    <xf numFmtId="166" fontId="44" fillId="18" borderId="23" xfId="1" applyNumberFormat="1" applyFont="1" applyFill="1" applyBorder="1" applyAlignment="1">
      <alignment horizontal="center"/>
    </xf>
    <xf numFmtId="166" fontId="44" fillId="18" borderId="24" xfId="1" applyNumberFormat="1" applyFont="1" applyFill="1" applyBorder="1" applyAlignment="1">
      <alignment horizontal="center"/>
    </xf>
    <xf numFmtId="14" fontId="67" fillId="0" borderId="4" xfId="2" quotePrefix="1" applyNumberFormat="1" applyFont="1" applyFill="1" applyBorder="1" applyAlignment="1" applyProtection="1">
      <alignment horizontal="right" vertical="center" wrapText="1"/>
    </xf>
    <xf numFmtId="166" fontId="44" fillId="18" borderId="25" xfId="1" applyNumberFormat="1" applyFont="1" applyFill="1" applyBorder="1" applyAlignment="1">
      <alignment horizontal="center"/>
    </xf>
    <xf numFmtId="166" fontId="44" fillId="18" borderId="26" xfId="1" applyNumberFormat="1" applyFont="1" applyFill="1" applyBorder="1" applyAlignment="1">
      <alignment horizontal="center"/>
    </xf>
    <xf numFmtId="14" fontId="44" fillId="0" borderId="4" xfId="0" applyNumberFormat="1" applyFont="1" applyBorder="1" applyAlignment="1">
      <alignment horizontal="right"/>
    </xf>
    <xf numFmtId="14" fontId="44" fillId="0" borderId="4" xfId="0" applyNumberFormat="1" applyFont="1" applyBorder="1"/>
    <xf numFmtId="0" fontId="44" fillId="0" borderId="0" xfId="0" applyFont="1" applyBorder="1" applyAlignment="1">
      <alignment horizontal="center" vertical="center"/>
    </xf>
    <xf numFmtId="176" fontId="44" fillId="0" borderId="0" xfId="0" applyNumberFormat="1" applyFont="1" applyBorder="1" applyAlignment="1">
      <alignment horizontal="center" vertical="center"/>
    </xf>
    <xf numFmtId="166" fontId="45" fillId="18" borderId="21" xfId="1" applyNumberFormat="1" applyFont="1" applyFill="1" applyBorder="1" applyAlignment="1">
      <alignment horizontal="center"/>
    </xf>
    <xf numFmtId="166" fontId="45" fillId="18" borderId="22" xfId="1" applyNumberFormat="1" applyFont="1" applyFill="1" applyBorder="1" applyAlignment="1">
      <alignment horizontal="center"/>
    </xf>
    <xf numFmtId="166" fontId="45" fillId="19" borderId="21" xfId="1" applyNumberFormat="1" applyFont="1" applyFill="1" applyBorder="1" applyAlignment="1">
      <alignment horizontal="center"/>
    </xf>
    <xf numFmtId="176" fontId="45" fillId="19" borderId="21" xfId="1" applyNumberFormat="1" applyFont="1" applyFill="1" applyBorder="1" applyAlignment="1">
      <alignment horizontal="center"/>
    </xf>
    <xf numFmtId="166" fontId="45" fillId="19" borderId="22" xfId="1" applyNumberFormat="1" applyFont="1" applyFill="1" applyBorder="1" applyAlignment="1">
      <alignment horizontal="center"/>
    </xf>
    <xf numFmtId="0" fontId="59" fillId="19" borderId="4" xfId="2" applyFont="1" applyFill="1" applyBorder="1" applyAlignment="1" applyProtection="1">
      <alignment vertical="center" wrapText="1"/>
    </xf>
    <xf numFmtId="14" fontId="59" fillId="19" borderId="4" xfId="2" applyNumberFormat="1" applyFont="1" applyFill="1" applyBorder="1" applyAlignment="1" applyProtection="1">
      <alignment vertical="center" wrapText="1"/>
    </xf>
    <xf numFmtId="166" fontId="45" fillId="19" borderId="4" xfId="0" applyNumberFormat="1" applyFont="1" applyFill="1" applyBorder="1"/>
    <xf numFmtId="0" fontId="45" fillId="19" borderId="0" xfId="0" applyFont="1" applyFill="1"/>
    <xf numFmtId="0" fontId="45" fillId="0" borderId="0" xfId="0" applyFont="1" applyAlignment="1">
      <alignment horizontal="center"/>
    </xf>
    <xf numFmtId="0" fontId="73" fillId="10" borderId="7" xfId="0" applyFont="1" applyFill="1" applyBorder="1" applyAlignment="1">
      <alignment horizontal="center"/>
    </xf>
    <xf numFmtId="0" fontId="7" fillId="28" borderId="6" xfId="2" applyFont="1" applyFill="1" applyBorder="1" applyAlignment="1" applyProtection="1">
      <alignment vertical="center" wrapText="1"/>
    </xf>
    <xf numFmtId="2" fontId="50" fillId="0" borderId="0" xfId="0" applyNumberFormat="1" applyFont="1"/>
    <xf numFmtId="43" fontId="18" fillId="0" borderId="8" xfId="1" applyFont="1" applyFill="1" applyBorder="1" applyAlignment="1" applyProtection="1">
      <alignment horizontal="center" vertical="center" wrapText="1"/>
    </xf>
    <xf numFmtId="43" fontId="17" fillId="8" borderId="2" xfId="1" applyFont="1" applyFill="1" applyBorder="1" applyAlignment="1">
      <alignment horizontal="justify" vertical="justify" textRotation="180"/>
    </xf>
    <xf numFmtId="166" fontId="18" fillId="0" borderId="8" xfId="1" applyNumberFormat="1" applyFont="1" applyFill="1" applyBorder="1" applyAlignment="1" applyProtection="1">
      <alignment horizontal="center" vertical="center" wrapText="1"/>
    </xf>
    <xf numFmtId="166" fontId="17" fillId="5" borderId="3" xfId="1" applyNumberFormat="1" applyFont="1" applyFill="1" applyBorder="1" applyAlignment="1">
      <alignment horizontal="justify" vertical="justify" textRotation="180"/>
    </xf>
    <xf numFmtId="166" fontId="17" fillId="8" borderId="2" xfId="1" applyNumberFormat="1" applyFont="1" applyFill="1" applyBorder="1" applyAlignment="1">
      <alignment horizontal="justify" vertical="justify" textRotation="180"/>
    </xf>
    <xf numFmtId="166" fontId="17" fillId="8" borderId="3" xfId="1" applyNumberFormat="1" applyFont="1" applyFill="1" applyBorder="1" applyAlignment="1">
      <alignment horizontal="justify" vertical="justify" textRotation="180"/>
    </xf>
    <xf numFmtId="166" fontId="49" fillId="0" borderId="0" xfId="1" applyNumberFormat="1" applyFont="1"/>
    <xf numFmtId="166" fontId="16" fillId="5" borderId="3" xfId="1" applyNumberFormat="1" applyFont="1" applyFill="1" applyBorder="1" applyAlignment="1">
      <alignment horizontal="justify" vertical="justify" textRotation="180"/>
    </xf>
    <xf numFmtId="166" fontId="16" fillId="8" borderId="3" xfId="1" applyNumberFormat="1" applyFont="1" applyFill="1" applyBorder="1" applyAlignment="1">
      <alignment horizontal="justify" vertical="justify" textRotation="180"/>
    </xf>
    <xf numFmtId="166" fontId="9" fillId="0" borderId="8" xfId="1" applyNumberFormat="1" applyFont="1" applyFill="1" applyBorder="1" applyAlignment="1" applyProtection="1">
      <alignment horizontal="center" vertical="center" wrapText="1"/>
    </xf>
    <xf numFmtId="166" fontId="16" fillId="8" borderId="2" xfId="1" applyNumberFormat="1" applyFont="1" applyFill="1" applyBorder="1" applyAlignment="1">
      <alignment horizontal="justify" vertical="justify" textRotation="180"/>
    </xf>
    <xf numFmtId="166" fontId="0" fillId="0" borderId="7" xfId="1" applyNumberFormat="1" applyFont="1" applyBorder="1"/>
    <xf numFmtId="0" fontId="14" fillId="0" borderId="0" xfId="0" applyFont="1" applyBorder="1" applyAlignment="1">
      <alignment horizontal="center"/>
    </xf>
    <xf numFmtId="166" fontId="14" fillId="0" borderId="0" xfId="0" applyNumberFormat="1" applyFont="1" applyBorder="1"/>
    <xf numFmtId="0" fontId="50" fillId="2" borderId="0" xfId="0" applyFont="1" applyFill="1"/>
    <xf numFmtId="0" fontId="57" fillId="10" borderId="4" xfId="2" applyFont="1" applyFill="1" applyBorder="1" applyAlignment="1" applyProtection="1">
      <alignment vertical="center" wrapText="1"/>
    </xf>
    <xf numFmtId="14" fontId="57" fillId="10" borderId="4" xfId="2" applyNumberFormat="1" applyFont="1" applyFill="1" applyBorder="1" applyAlignment="1" applyProtection="1">
      <alignment vertical="center" wrapText="1"/>
    </xf>
    <xf numFmtId="166" fontId="57" fillId="10" borderId="4" xfId="1" applyNumberFormat="1" applyFont="1" applyFill="1" applyBorder="1" applyAlignment="1" applyProtection="1">
      <alignment horizontal="center" vertical="center"/>
    </xf>
    <xf numFmtId="9" fontId="57" fillId="10" borderId="4" xfId="3" applyFont="1" applyFill="1" applyBorder="1" applyAlignment="1" applyProtection="1">
      <alignment horizontal="center" vertical="center"/>
    </xf>
    <xf numFmtId="166" fontId="57" fillId="10" borderId="4" xfId="1" applyNumberFormat="1" applyFont="1" applyFill="1" applyBorder="1" applyAlignment="1" applyProtection="1">
      <alignment vertical="center" wrapText="1"/>
    </xf>
    <xf numFmtId="0" fontId="57" fillId="10" borderId="4" xfId="2" applyFont="1" applyFill="1" applyBorder="1" applyAlignment="1" applyProtection="1">
      <alignment horizontal="center" vertical="center" wrapText="1"/>
    </xf>
    <xf numFmtId="166" fontId="57" fillId="10" borderId="4" xfId="1" applyNumberFormat="1" applyFont="1" applyFill="1" applyBorder="1" applyAlignment="1" applyProtection="1">
      <alignment horizontal="center" vertical="center" wrapText="1"/>
    </xf>
    <xf numFmtId="165" fontId="57" fillId="10" borderId="4" xfId="1" applyNumberFormat="1" applyFont="1" applyFill="1" applyBorder="1" applyAlignment="1" applyProtection="1">
      <alignment vertical="center" wrapText="1"/>
    </xf>
    <xf numFmtId="166" fontId="51" fillId="10" borderId="4" xfId="1" applyNumberFormat="1" applyFont="1" applyFill="1" applyBorder="1" applyAlignment="1" applyProtection="1">
      <alignment vertical="center" wrapText="1"/>
    </xf>
    <xf numFmtId="166" fontId="84" fillId="0" borderId="0" xfId="1" applyNumberFormat="1" applyFont="1" applyFill="1" applyBorder="1" applyAlignment="1" applyProtection="1">
      <alignment vertical="center" wrapText="1"/>
    </xf>
    <xf numFmtId="166" fontId="12" fillId="0" borderId="0" xfId="1" applyNumberFormat="1" applyFont="1" applyFill="1" applyAlignment="1">
      <alignment horizontal="center"/>
    </xf>
    <xf numFmtId="166" fontId="57" fillId="0" borderId="4" xfId="1" applyNumberFormat="1" applyFont="1" applyFill="1" applyBorder="1" applyAlignment="1" applyProtection="1">
      <alignment horizontal="center" vertical="center"/>
    </xf>
    <xf numFmtId="166" fontId="57" fillId="19" borderId="4" xfId="1" applyNumberFormat="1" applyFont="1" applyFill="1" applyBorder="1" applyAlignment="1" applyProtection="1">
      <alignment horizontal="center" vertical="center" wrapText="1"/>
    </xf>
    <xf numFmtId="0" fontId="57" fillId="0" borderId="4" xfId="2" applyFont="1" applyFill="1" applyBorder="1" applyAlignment="1" applyProtection="1">
      <alignment vertical="center" wrapText="1"/>
    </xf>
    <xf numFmtId="14" fontId="57" fillId="0" borderId="4" xfId="2" applyNumberFormat="1" applyFont="1" applyFill="1" applyBorder="1" applyAlignment="1" applyProtection="1">
      <alignment vertical="center" wrapText="1"/>
    </xf>
    <xf numFmtId="9" fontId="57" fillId="0" borderId="4" xfId="3" applyFont="1" applyFill="1" applyBorder="1" applyAlignment="1" applyProtection="1">
      <alignment horizontal="center" vertical="center"/>
    </xf>
    <xf numFmtId="166" fontId="57" fillId="0" borderId="4" xfId="1" applyNumberFormat="1" applyFont="1" applyFill="1" applyBorder="1" applyAlignment="1" applyProtection="1">
      <alignment vertical="center" wrapText="1"/>
    </xf>
    <xf numFmtId="0" fontId="57" fillId="0" borderId="4" xfId="2" applyFont="1" applyFill="1" applyBorder="1" applyAlignment="1" applyProtection="1">
      <alignment horizontal="center" vertical="center" wrapText="1"/>
    </xf>
    <xf numFmtId="166" fontId="57" fillId="24" borderId="4" xfId="1" applyNumberFormat="1" applyFont="1" applyFill="1" applyBorder="1" applyAlignment="1" applyProtection="1">
      <alignment vertical="center" wrapText="1"/>
    </xf>
    <xf numFmtId="166" fontId="51" fillId="0" borderId="4" xfId="1" applyNumberFormat="1" applyFont="1" applyFill="1" applyBorder="1" applyAlignment="1" applyProtection="1">
      <alignment vertical="center" wrapText="1"/>
    </xf>
    <xf numFmtId="0" fontId="0" fillId="18" borderId="4" xfId="0" applyFont="1" applyFill="1" applyBorder="1"/>
    <xf numFmtId="0" fontId="12" fillId="18" borderId="0" xfId="2" applyFont="1" applyFill="1" applyBorder="1" applyAlignment="1" applyProtection="1">
      <alignment vertical="center" wrapText="1"/>
    </xf>
    <xf numFmtId="166" fontId="82" fillId="0" borderId="0" xfId="1" applyNumberFormat="1" applyFont="1" applyBorder="1"/>
    <xf numFmtId="0" fontId="82" fillId="0" borderId="0" xfId="0" applyFont="1" applyBorder="1"/>
    <xf numFmtId="166" fontId="74" fillId="0" borderId="0" xfId="0" applyNumberFormat="1" applyFont="1"/>
    <xf numFmtId="0" fontId="53" fillId="18" borderId="4" xfId="2" applyFont="1" applyFill="1" applyBorder="1" applyAlignment="1" applyProtection="1">
      <alignment vertical="center" wrapText="1"/>
    </xf>
    <xf numFmtId="165" fontId="63" fillId="18" borderId="4" xfId="1" applyNumberFormat="1" applyFont="1" applyFill="1" applyBorder="1"/>
    <xf numFmtId="0" fontId="44" fillId="19" borderId="0" xfId="0" applyFont="1" applyFill="1"/>
    <xf numFmtId="0" fontId="44" fillId="29" borderId="4" xfId="0" applyFont="1" applyFill="1" applyBorder="1" applyAlignment="1">
      <alignment horizontal="center"/>
    </xf>
    <xf numFmtId="176" fontId="44" fillId="29" borderId="4" xfId="0" applyNumberFormat="1" applyFont="1" applyFill="1" applyBorder="1" applyAlignment="1">
      <alignment horizontal="center"/>
    </xf>
    <xf numFmtId="166" fontId="45" fillId="29" borderId="21" xfId="1" applyNumberFormat="1" applyFont="1" applyFill="1" applyBorder="1" applyAlignment="1">
      <alignment horizontal="center"/>
    </xf>
    <xf numFmtId="176" fontId="45" fillId="29" borderId="21" xfId="1" applyNumberFormat="1" applyFont="1" applyFill="1" applyBorder="1" applyAlignment="1">
      <alignment horizontal="center"/>
    </xf>
    <xf numFmtId="166" fontId="45" fillId="29" borderId="17" xfId="1" applyNumberFormat="1" applyFont="1" applyFill="1" applyBorder="1" applyAlignment="1">
      <alignment horizontal="center"/>
    </xf>
    <xf numFmtId="176" fontId="45" fillId="29" borderId="17" xfId="1" applyNumberFormat="1" applyFont="1" applyFill="1" applyBorder="1" applyAlignment="1">
      <alignment horizontal="center"/>
    </xf>
    <xf numFmtId="166" fontId="59" fillId="29" borderId="17" xfId="1" applyNumberFormat="1" applyFont="1" applyFill="1" applyBorder="1" applyAlignment="1">
      <alignment horizontal="center"/>
    </xf>
    <xf numFmtId="176" fontId="59" fillId="29" borderId="17" xfId="1" applyNumberFormat="1" applyFont="1" applyFill="1" applyBorder="1" applyAlignment="1">
      <alignment horizontal="center"/>
    </xf>
    <xf numFmtId="166" fontId="45" fillId="29" borderId="23" xfId="1" applyNumberFormat="1" applyFont="1" applyFill="1" applyBorder="1" applyAlignment="1">
      <alignment horizontal="center"/>
    </xf>
    <xf numFmtId="176" fontId="45" fillId="29" borderId="23" xfId="1" applyNumberFormat="1" applyFont="1" applyFill="1" applyBorder="1" applyAlignment="1">
      <alignment horizontal="center"/>
    </xf>
    <xf numFmtId="166" fontId="45" fillId="29" borderId="19" xfId="1" applyNumberFormat="1" applyFont="1" applyFill="1" applyBorder="1" applyAlignment="1">
      <alignment horizontal="center"/>
    </xf>
    <xf numFmtId="176" fontId="45" fillId="29" borderId="19" xfId="1" applyNumberFormat="1" applyFont="1" applyFill="1" applyBorder="1" applyAlignment="1">
      <alignment horizontal="center"/>
    </xf>
    <xf numFmtId="166" fontId="44" fillId="29" borderId="23" xfId="1" applyNumberFormat="1" applyFont="1" applyFill="1" applyBorder="1" applyAlignment="1">
      <alignment horizontal="center"/>
    </xf>
    <xf numFmtId="176" fontId="44" fillId="29" borderId="23" xfId="1" applyNumberFormat="1" applyFont="1" applyFill="1" applyBorder="1" applyAlignment="1">
      <alignment horizontal="center"/>
    </xf>
    <xf numFmtId="166" fontId="44" fillId="29" borderId="25" xfId="1" applyNumberFormat="1" applyFont="1" applyFill="1" applyBorder="1" applyAlignment="1">
      <alignment horizontal="center"/>
    </xf>
    <xf numFmtId="176" fontId="44" fillId="29" borderId="25" xfId="1" applyNumberFormat="1" applyFont="1" applyFill="1" applyBorder="1" applyAlignment="1">
      <alignment horizontal="center"/>
    </xf>
    <xf numFmtId="2" fontId="0" fillId="0" borderId="0" xfId="0" applyNumberFormat="1"/>
    <xf numFmtId="2" fontId="17" fillId="5" borderId="3" xfId="0" applyNumberFormat="1" applyFont="1" applyFill="1" applyBorder="1" applyAlignment="1">
      <alignment horizontal="justify" vertical="justify" textRotation="180"/>
    </xf>
    <xf numFmtId="0" fontId="49" fillId="18" borderId="0" xfId="0" applyFont="1" applyFill="1"/>
    <xf numFmtId="0" fontId="49" fillId="3" borderId="4" xfId="0" applyFont="1" applyFill="1" applyBorder="1"/>
    <xf numFmtId="0" fontId="49" fillId="3" borderId="0" xfId="0" applyFont="1" applyFill="1"/>
    <xf numFmtId="0" fontId="0" fillId="3" borderId="4" xfId="0" applyFont="1" applyFill="1" applyBorder="1"/>
    <xf numFmtId="0" fontId="0" fillId="3" borderId="0" xfId="0" applyFont="1" applyFill="1"/>
    <xf numFmtId="0" fontId="53" fillId="0" borderId="0" xfId="0" applyFont="1"/>
    <xf numFmtId="0" fontId="53" fillId="10" borderId="4" xfId="0" applyFont="1" applyFill="1" applyBorder="1"/>
    <xf numFmtId="0" fontId="52" fillId="10" borderId="4" xfId="2" applyFont="1" applyFill="1" applyBorder="1" applyAlignment="1" applyProtection="1">
      <alignment horizontal="center" vertical="center" wrapText="1"/>
    </xf>
    <xf numFmtId="0" fontId="53" fillId="3" borderId="4" xfId="2" applyFont="1" applyFill="1" applyBorder="1" applyAlignment="1" applyProtection="1">
      <alignment vertical="center" wrapText="1"/>
    </xf>
    <xf numFmtId="165" fontId="63" fillId="3" borderId="4" xfId="1" applyNumberFormat="1" applyFont="1" applyFill="1" applyBorder="1"/>
    <xf numFmtId="0" fontId="50" fillId="3" borderId="0" xfId="0" applyFont="1" applyFill="1"/>
    <xf numFmtId="0" fontId="63" fillId="18" borderId="4" xfId="0" applyFont="1" applyFill="1" applyBorder="1"/>
    <xf numFmtId="0" fontId="51" fillId="18" borderId="4" xfId="2" applyFont="1" applyFill="1" applyBorder="1" applyAlignment="1" applyProtection="1">
      <alignment horizontal="center" vertical="center" wrapText="1"/>
    </xf>
    <xf numFmtId="0" fontId="52" fillId="3" borderId="4" xfId="2" applyFont="1" applyFill="1" applyBorder="1" applyAlignment="1" applyProtection="1">
      <alignment vertical="center" wrapText="1"/>
    </xf>
    <xf numFmtId="0" fontId="51" fillId="3" borderId="4" xfId="2" applyFont="1" applyFill="1" applyBorder="1" applyAlignment="1" applyProtection="1">
      <alignment vertical="center" wrapText="1"/>
    </xf>
    <xf numFmtId="0" fontId="68" fillId="3" borderId="4" xfId="2" applyFont="1" applyFill="1" applyBorder="1" applyAlignment="1" applyProtection="1">
      <alignment vertical="center" wrapText="1"/>
    </xf>
    <xf numFmtId="0" fontId="45" fillId="0" borderId="0" xfId="0" applyFont="1" applyAlignment="1">
      <alignment horizontal="center"/>
    </xf>
    <xf numFmtId="0" fontId="14" fillId="18" borderId="0" xfId="0" applyFont="1" applyFill="1"/>
    <xf numFmtId="0" fontId="50" fillId="0" borderId="4" xfId="0" applyFont="1" applyBorder="1"/>
    <xf numFmtId="0" fontId="77" fillId="0" borderId="4" xfId="0" applyFont="1" applyBorder="1"/>
    <xf numFmtId="0" fontId="77" fillId="18" borderId="4" xfId="0" applyFont="1" applyFill="1" applyBorder="1"/>
    <xf numFmtId="0" fontId="78" fillId="18" borderId="0" xfId="0" applyFont="1" applyFill="1" applyBorder="1" applyAlignment="1">
      <alignment horizontal="center" vertical="center"/>
    </xf>
    <xf numFmtId="0" fontId="85" fillId="0" borderId="0" xfId="0" applyFont="1" applyAlignment="1">
      <alignment horizontal="center"/>
    </xf>
    <xf numFmtId="0" fontId="54" fillId="3" borderId="0" xfId="0" applyFont="1" applyFill="1"/>
    <xf numFmtId="177" fontId="50" fillId="0" borderId="0" xfId="0" applyNumberFormat="1" applyFont="1"/>
    <xf numFmtId="14" fontId="57" fillId="27" borderId="0" xfId="1" applyNumberFormat="1" applyFont="1" applyFill="1"/>
    <xf numFmtId="166" fontId="52" fillId="10" borderId="7" xfId="9" applyNumberFormat="1" applyFont="1" applyFill="1" applyBorder="1" applyAlignment="1" applyProtection="1">
      <alignment vertical="center"/>
      <protection hidden="1"/>
    </xf>
    <xf numFmtId="166" fontId="14" fillId="0" borderId="0" xfId="1" applyNumberFormat="1" applyFont="1" applyBorder="1" applyAlignment="1">
      <alignment horizontal="right"/>
    </xf>
    <xf numFmtId="0" fontId="44" fillId="7" borderId="4" xfId="0" applyFont="1" applyFill="1" applyBorder="1"/>
    <xf numFmtId="14" fontId="44" fillId="7" borderId="4" xfId="0" applyNumberFormat="1" applyFont="1" applyFill="1" applyBorder="1"/>
    <xf numFmtId="0" fontId="44" fillId="7" borderId="4" xfId="0" applyFont="1" applyFill="1" applyBorder="1" applyAlignment="1">
      <alignment horizontal="center"/>
    </xf>
    <xf numFmtId="176" fontId="44" fillId="7" borderId="4" xfId="0" applyNumberFormat="1" applyFont="1" applyFill="1" applyBorder="1" applyAlignment="1">
      <alignment horizontal="center"/>
    </xf>
    <xf numFmtId="166" fontId="45" fillId="7" borderId="4" xfId="0" applyNumberFormat="1" applyFont="1" applyFill="1" applyBorder="1"/>
    <xf numFmtId="0" fontId="44" fillId="7" borderId="0" xfId="0" applyFont="1" applyFill="1"/>
    <xf numFmtId="14" fontId="67" fillId="7" borderId="4" xfId="15" quotePrefix="1" applyNumberFormat="1" applyFont="1" applyFill="1" applyBorder="1" applyAlignment="1">
      <alignment horizontal="center" vertical="center"/>
    </xf>
    <xf numFmtId="0" fontId="59" fillId="7" borderId="4" xfId="2" applyFont="1" applyFill="1" applyBorder="1" applyAlignment="1" applyProtection="1">
      <alignment vertical="center" wrapText="1"/>
    </xf>
    <xf numFmtId="14" fontId="59" fillId="7" borderId="4" xfId="2" quotePrefix="1" applyNumberFormat="1" applyFont="1" applyFill="1" applyBorder="1" applyAlignment="1" applyProtection="1">
      <alignment horizontal="right" vertical="center" wrapText="1"/>
    </xf>
    <xf numFmtId="166" fontId="45" fillId="7" borderId="23" xfId="1" applyNumberFormat="1" applyFont="1" applyFill="1" applyBorder="1" applyAlignment="1">
      <alignment horizontal="center"/>
    </xf>
    <xf numFmtId="166" fontId="45" fillId="7" borderId="24" xfId="1" applyNumberFormat="1" applyFont="1" applyFill="1" applyBorder="1" applyAlignment="1">
      <alignment horizontal="center"/>
    </xf>
    <xf numFmtId="176" fontId="45" fillId="7" borderId="23" xfId="1" applyNumberFormat="1" applyFont="1" applyFill="1" applyBorder="1" applyAlignment="1">
      <alignment horizontal="center"/>
    </xf>
    <xf numFmtId="0" fontId="45" fillId="7" borderId="0" xfId="0" applyFont="1" applyFill="1"/>
    <xf numFmtId="0" fontId="44" fillId="18" borderId="4" xfId="0" applyFont="1" applyFill="1" applyBorder="1" applyAlignment="1">
      <alignment horizontal="center"/>
    </xf>
    <xf numFmtId="43" fontId="7" fillId="0" borderId="4" xfId="1" applyNumberFormat="1" applyFont="1" applyFill="1" applyBorder="1" applyAlignment="1" applyProtection="1">
      <alignment vertical="center" wrapText="1"/>
    </xf>
    <xf numFmtId="0" fontId="63" fillId="10" borderId="27" xfId="0" applyFont="1" applyFill="1" applyBorder="1" applyAlignment="1">
      <alignment horizontal="center" vertical="center"/>
    </xf>
    <xf numFmtId="165" fontId="63" fillId="3" borderId="0" xfId="1" applyNumberFormat="1" applyFont="1" applyFill="1" applyBorder="1"/>
    <xf numFmtId="165" fontId="63" fillId="18" borderId="0" xfId="1" applyNumberFormat="1" applyFont="1" applyFill="1" applyBorder="1"/>
    <xf numFmtId="0" fontId="67" fillId="18" borderId="4" xfId="2" applyFont="1" applyFill="1" applyBorder="1" applyAlignment="1" applyProtection="1">
      <alignment vertical="center" wrapText="1"/>
    </xf>
    <xf numFmtId="0" fontId="67" fillId="0" borderId="4" xfId="2" applyFont="1" applyFill="1" applyBorder="1" applyAlignment="1" applyProtection="1">
      <alignment vertical="center" wrapText="1"/>
    </xf>
    <xf numFmtId="0" fontId="67" fillId="0" borderId="4" xfId="0" applyFont="1" applyFill="1" applyBorder="1"/>
    <xf numFmtId="0" fontId="67" fillId="21" borderId="4" xfId="2" applyFont="1" applyFill="1" applyBorder="1" applyAlignment="1" applyProtection="1">
      <alignment vertical="center" wrapText="1"/>
    </xf>
    <xf numFmtId="0" fontId="67" fillId="21" borderId="4" xfId="0" applyFont="1" applyFill="1" applyBorder="1"/>
    <xf numFmtId="0" fontId="67" fillId="0" borderId="4" xfId="2" applyFont="1" applyFill="1" applyBorder="1" applyAlignment="1" applyProtection="1">
      <alignment horizontal="center" vertical="center" wrapText="1"/>
    </xf>
    <xf numFmtId="0" fontId="67" fillId="21" borderId="4" xfId="2" applyFont="1" applyFill="1" applyBorder="1" applyAlignment="1" applyProtection="1">
      <alignment horizontal="center" vertical="center" wrapText="1"/>
    </xf>
    <xf numFmtId="166" fontId="67" fillId="0" borderId="4" xfId="1" applyNumberFormat="1" applyFont="1" applyBorder="1"/>
    <xf numFmtId="0" fontId="67" fillId="0" borderId="4" xfId="0" applyFont="1" applyBorder="1"/>
    <xf numFmtId="166" fontId="67" fillId="0" borderId="4" xfId="19" applyNumberFormat="1" applyFont="1" applyFill="1" applyBorder="1" applyAlignment="1" applyProtection="1">
      <alignment horizontal="center" vertical="center"/>
    </xf>
    <xf numFmtId="166" fontId="67" fillId="0" borderId="4" xfId="1" applyNumberFormat="1" applyFont="1" applyFill="1" applyBorder="1" applyAlignment="1" applyProtection="1">
      <alignment horizontal="center" vertical="center" wrapText="1"/>
    </xf>
    <xf numFmtId="166" fontId="67" fillId="21" borderId="4" xfId="1" applyNumberFormat="1" applyFont="1" applyFill="1" applyBorder="1" applyAlignment="1" applyProtection="1">
      <alignment horizontal="center" vertical="center" wrapText="1"/>
    </xf>
    <xf numFmtId="166" fontId="67" fillId="21" borderId="4" xfId="1" applyNumberFormat="1" applyFont="1" applyFill="1" applyBorder="1" applyAlignment="1" applyProtection="1">
      <alignment vertical="center" wrapText="1"/>
    </xf>
    <xf numFmtId="166" fontId="67" fillId="0" borderId="4" xfId="1" applyNumberFormat="1" applyFont="1" applyFill="1" applyBorder="1" applyAlignment="1" applyProtection="1">
      <alignment vertical="center" wrapText="1"/>
    </xf>
    <xf numFmtId="166" fontId="67" fillId="18" borderId="4" xfId="1" applyNumberFormat="1" applyFont="1" applyFill="1" applyBorder="1" applyAlignment="1" applyProtection="1">
      <alignment horizontal="center" vertical="center" wrapText="1"/>
    </xf>
    <xf numFmtId="166" fontId="67" fillId="0" borderId="4" xfId="2" applyNumberFormat="1" applyFont="1" applyFill="1" applyBorder="1" applyAlignment="1" applyProtection="1">
      <alignment horizontal="center" vertical="center" wrapText="1"/>
    </xf>
    <xf numFmtId="0" fontId="51" fillId="18" borderId="0" xfId="2" applyFont="1" applyFill="1" applyBorder="1" applyAlignment="1" applyProtection="1">
      <alignment horizontal="center" vertical="center" wrapText="1"/>
    </xf>
    <xf numFmtId="0" fontId="67" fillId="18" borderId="0" xfId="2" applyFont="1" applyFill="1" applyBorder="1" applyAlignment="1" applyProtection="1">
      <alignment vertical="center" wrapText="1"/>
    </xf>
    <xf numFmtId="0" fontId="59" fillId="18" borderId="0" xfId="2" applyFont="1" applyFill="1" applyBorder="1" applyAlignment="1" applyProtection="1">
      <alignment horizontal="center" vertical="center" wrapText="1"/>
    </xf>
    <xf numFmtId="166" fontId="67" fillId="0" borderId="0" xfId="1" applyNumberFormat="1" applyFont="1" applyBorder="1"/>
    <xf numFmtId="0" fontId="67" fillId="0" borderId="0" xfId="0" applyFont="1" applyBorder="1"/>
    <xf numFmtId="166" fontId="67" fillId="0" borderId="0" xfId="1" applyNumberFormat="1" applyFont="1" applyBorder="1" applyAlignment="1">
      <alignment horizontal="center"/>
    </xf>
    <xf numFmtId="166" fontId="59" fillId="21" borderId="11" xfId="1" applyNumberFormat="1" applyFont="1" applyFill="1" applyBorder="1" applyAlignment="1" applyProtection="1">
      <alignment horizontal="center" vertical="center" wrapText="1"/>
    </xf>
    <xf numFmtId="0" fontId="59" fillId="21" borderId="11" xfId="2" applyFont="1" applyFill="1" applyBorder="1" applyAlignment="1" applyProtection="1">
      <alignment vertical="center" wrapText="1"/>
    </xf>
    <xf numFmtId="0" fontId="59" fillId="21" borderId="15" xfId="2" applyFont="1" applyFill="1" applyBorder="1" applyAlignment="1" applyProtection="1">
      <alignment vertical="center" wrapText="1"/>
    </xf>
    <xf numFmtId="0" fontId="67" fillId="18" borderId="4" xfId="2" applyFont="1" applyFill="1" applyBorder="1" applyAlignment="1" applyProtection="1">
      <alignment horizontal="left" vertical="center" wrapText="1"/>
    </xf>
    <xf numFmtId="166" fontId="67" fillId="18" borderId="4" xfId="1" applyNumberFormat="1" applyFont="1" applyFill="1" applyBorder="1" applyAlignment="1" applyProtection="1">
      <alignment horizontal="left" vertical="center" wrapText="1"/>
    </xf>
    <xf numFmtId="166" fontId="67" fillId="18" borderId="4" xfId="2" applyNumberFormat="1" applyFont="1" applyFill="1" applyBorder="1" applyAlignment="1" applyProtection="1">
      <alignment vertical="center" wrapText="1"/>
    </xf>
    <xf numFmtId="166" fontId="59" fillId="18" borderId="9" xfId="1" applyNumberFormat="1" applyFont="1" applyFill="1" applyBorder="1" applyAlignment="1" applyProtection="1">
      <alignment horizontal="center" vertical="center" wrapText="1"/>
    </xf>
    <xf numFmtId="166" fontId="45" fillId="0" borderId="4" xfId="1" applyNumberFormat="1" applyFont="1" applyBorder="1" applyAlignment="1"/>
    <xf numFmtId="166" fontId="45" fillId="0" borderId="9" xfId="1" applyNumberFormat="1" applyFont="1" applyBorder="1" applyAlignment="1"/>
    <xf numFmtId="0" fontId="59" fillId="18" borderId="0" xfId="2" applyFont="1" applyFill="1" applyBorder="1" applyAlignment="1" applyProtection="1">
      <alignment vertical="center" wrapText="1"/>
    </xf>
    <xf numFmtId="166" fontId="59" fillId="18" borderId="0" xfId="1" applyNumberFormat="1" applyFont="1" applyFill="1" applyBorder="1" applyAlignment="1" applyProtection="1">
      <alignment vertical="center" wrapText="1"/>
    </xf>
    <xf numFmtId="166" fontId="59" fillId="0" borderId="9" xfId="1" applyNumberFormat="1" applyFont="1" applyFill="1" applyBorder="1" applyAlignment="1" applyProtection="1">
      <alignment horizontal="center" vertical="center" wrapText="1"/>
    </xf>
    <xf numFmtId="166" fontId="9" fillId="0" borderId="0" xfId="1" applyNumberFormat="1" applyFont="1" applyFill="1" applyAlignment="1">
      <alignment horizontal="center"/>
    </xf>
    <xf numFmtId="0" fontId="14" fillId="0" borderId="0" xfId="0" applyFont="1" applyFill="1"/>
    <xf numFmtId="166" fontId="57" fillId="0" borderId="4" xfId="1" applyNumberFormat="1" applyFont="1" applyFill="1" applyBorder="1" applyAlignment="1" applyProtection="1">
      <alignment horizontal="center" vertical="center" wrapText="1"/>
    </xf>
    <xf numFmtId="165" fontId="57" fillId="0" borderId="4" xfId="1" applyNumberFormat="1" applyFont="1" applyFill="1" applyBorder="1" applyAlignment="1" applyProtection="1">
      <alignment vertical="center" wrapText="1"/>
    </xf>
    <xf numFmtId="0" fontId="72" fillId="0" borderId="0" xfId="0" applyFont="1" applyFill="1"/>
    <xf numFmtId="0" fontId="62" fillId="0" borderId="0" xfId="0" applyFont="1" applyFill="1"/>
    <xf numFmtId="0" fontId="9" fillId="0" borderId="0" xfId="0" applyFont="1" applyFill="1"/>
    <xf numFmtId="166" fontId="12" fillId="0" borderId="0" xfId="0" applyNumberFormat="1" applyFont="1" applyFill="1"/>
    <xf numFmtId="166" fontId="9" fillId="0" borderId="0" xfId="0" applyNumberFormat="1" applyFont="1" applyFill="1"/>
    <xf numFmtId="0" fontId="73" fillId="10" borderId="1" xfId="0" applyFont="1" applyFill="1" applyBorder="1" applyAlignment="1">
      <alignment horizontal="center" vertical="center"/>
    </xf>
    <xf numFmtId="165" fontId="63" fillId="0" borderId="4" xfId="1" applyNumberFormat="1" applyFont="1" applyFill="1" applyBorder="1"/>
    <xf numFmtId="0" fontId="77" fillId="0" borderId="0" xfId="0" applyFont="1" applyFill="1"/>
    <xf numFmtId="165" fontId="63" fillId="0" borderId="0" xfId="0" applyNumberFormat="1" applyFont="1"/>
    <xf numFmtId="177" fontId="63" fillId="0" borderId="0" xfId="0" applyNumberFormat="1" applyFont="1"/>
    <xf numFmtId="43" fontId="0" fillId="0" borderId="0" xfId="0" applyNumberFormat="1"/>
    <xf numFmtId="166" fontId="8" fillId="0" borderId="0" xfId="0" applyNumberFormat="1" applyFont="1"/>
    <xf numFmtId="0" fontId="74" fillId="0" borderId="0" xfId="0" applyFont="1" applyFill="1"/>
    <xf numFmtId="165" fontId="63" fillId="0" borderId="0" xfId="1" applyNumberFormat="1" applyFont="1" applyFill="1" applyBorder="1"/>
    <xf numFmtId="0" fontId="63" fillId="0" borderId="0" xfId="0" applyFont="1" applyFill="1"/>
    <xf numFmtId="165" fontId="59" fillId="29" borderId="17" xfId="1" applyNumberFormat="1" applyFont="1" applyFill="1" applyBorder="1" applyAlignment="1">
      <alignment horizontal="center"/>
    </xf>
    <xf numFmtId="0" fontId="50" fillId="0" borderId="0" xfId="0" applyFont="1" applyFill="1"/>
    <xf numFmtId="166" fontId="72" fillId="18" borderId="0" xfId="0" applyNumberFormat="1" applyFont="1" applyFill="1"/>
    <xf numFmtId="166" fontId="67" fillId="21" borderId="4" xfId="2" applyNumberFormat="1" applyFont="1" applyFill="1" applyBorder="1" applyAlignment="1" applyProtection="1">
      <alignment horizontal="center" vertical="center" wrapText="1"/>
    </xf>
    <xf numFmtId="14" fontId="83" fillId="0" borderId="4" xfId="0" applyNumberFormat="1" applyFont="1" applyBorder="1"/>
    <xf numFmtId="14" fontId="57" fillId="18" borderId="4" xfId="0" applyNumberFormat="1" applyFont="1" applyFill="1" applyBorder="1"/>
    <xf numFmtId="14" fontId="83" fillId="18" borderId="4" xfId="0" applyNumberFormat="1" applyFont="1" applyFill="1" applyBorder="1"/>
    <xf numFmtId="165" fontId="45" fillId="29" borderId="17" xfId="1" applyNumberFormat="1" applyFont="1" applyFill="1" applyBorder="1" applyAlignment="1">
      <alignment horizontal="center"/>
    </xf>
    <xf numFmtId="43" fontId="44" fillId="0" borderId="0" xfId="1" applyFont="1"/>
    <xf numFmtId="0" fontId="53" fillId="30" borderId="4" xfId="2" applyFont="1" applyFill="1" applyBorder="1" applyAlignment="1" applyProtection="1">
      <alignment vertical="center" wrapText="1"/>
    </xf>
    <xf numFmtId="0" fontId="53" fillId="5" borderId="4" xfId="2" applyFont="1" applyFill="1" applyBorder="1" applyAlignment="1" applyProtection="1">
      <alignment vertical="center" wrapText="1"/>
    </xf>
    <xf numFmtId="0" fontId="0" fillId="8" borderId="0" xfId="0" applyFill="1"/>
    <xf numFmtId="0" fontId="0" fillId="8" borderId="4" xfId="0" applyFill="1" applyBorder="1"/>
    <xf numFmtId="0" fontId="50" fillId="8" borderId="0" xfId="0" applyFont="1" applyFill="1"/>
    <xf numFmtId="0" fontId="52" fillId="8" borderId="4" xfId="2" applyFont="1" applyFill="1" applyBorder="1" applyAlignment="1" applyProtection="1">
      <alignment vertical="center" wrapText="1"/>
    </xf>
    <xf numFmtId="0" fontId="77" fillId="8" borderId="4" xfId="0" applyFont="1" applyFill="1" applyBorder="1"/>
    <xf numFmtId="0" fontId="49" fillId="8" borderId="4" xfId="0" applyFont="1" applyFill="1" applyBorder="1"/>
    <xf numFmtId="165" fontId="70" fillId="10" borderId="4" xfId="1" applyNumberFormat="1" applyFont="1" applyFill="1" applyBorder="1"/>
    <xf numFmtId="166" fontId="7" fillId="10" borderId="2" xfId="1" applyNumberFormat="1" applyFont="1" applyFill="1" applyBorder="1" applyAlignment="1" applyProtection="1">
      <alignment vertical="center" wrapText="1"/>
    </xf>
    <xf numFmtId="166" fontId="7" fillId="28" borderId="5" xfId="2" applyNumberFormat="1" applyFont="1" applyFill="1" applyBorder="1" applyAlignment="1" applyProtection="1">
      <alignment vertical="center" wrapText="1"/>
    </xf>
    <xf numFmtId="0" fontId="67" fillId="31" borderId="4" xfId="2" applyFont="1" applyFill="1" applyBorder="1" applyAlignment="1" applyProtection="1">
      <alignment horizontal="center" vertical="center" wrapText="1"/>
    </xf>
    <xf numFmtId="0" fontId="67" fillId="31" borderId="4" xfId="2" applyFont="1" applyFill="1" applyBorder="1" applyAlignment="1" applyProtection="1">
      <alignment vertical="center" wrapText="1"/>
    </xf>
    <xf numFmtId="166" fontId="67" fillId="31" borderId="4" xfId="1" applyNumberFormat="1" applyFont="1" applyFill="1" applyBorder="1" applyAlignment="1" applyProtection="1">
      <alignment horizontal="center" vertical="center" wrapText="1"/>
    </xf>
    <xf numFmtId="43" fontId="63" fillId="0" borderId="0" xfId="0" applyNumberFormat="1" applyFont="1"/>
    <xf numFmtId="166" fontId="63" fillId="18" borderId="0" xfId="1" applyNumberFormat="1" applyFont="1" applyFill="1" applyBorder="1"/>
    <xf numFmtId="165" fontId="77" fillId="0" borderId="0" xfId="0" applyNumberFormat="1" applyFont="1" applyFill="1"/>
    <xf numFmtId="43" fontId="50" fillId="0" borderId="0" xfId="0" applyNumberFormat="1" applyFont="1" applyFill="1"/>
    <xf numFmtId="0" fontId="44" fillId="18" borderId="4" xfId="0" applyFont="1" applyFill="1" applyBorder="1" applyAlignment="1">
      <alignment horizontal="center"/>
    </xf>
    <xf numFmtId="165" fontId="50" fillId="0" borderId="0" xfId="0" applyNumberFormat="1" applyFont="1" applyFill="1"/>
    <xf numFmtId="43" fontId="45" fillId="0" borderId="4" xfId="1" applyFont="1" applyBorder="1"/>
    <xf numFmtId="166" fontId="35" fillId="0" borderId="0" xfId="0" applyNumberFormat="1" applyFont="1"/>
    <xf numFmtId="0" fontId="0" fillId="3" borderId="0" xfId="0" applyFill="1"/>
    <xf numFmtId="0" fontId="44" fillId="29" borderId="7" xfId="0" applyFont="1" applyFill="1" applyBorder="1" applyAlignment="1">
      <alignment horizontal="center"/>
    </xf>
    <xf numFmtId="0" fontId="44" fillId="24" borderId="9" xfId="0" applyFont="1" applyFill="1" applyBorder="1" applyAlignment="1">
      <alignment horizontal="center"/>
    </xf>
    <xf numFmtId="0" fontId="44" fillId="24" borderId="4" xfId="0" applyFont="1" applyFill="1" applyBorder="1" applyAlignment="1">
      <alignment horizontal="center"/>
    </xf>
    <xf numFmtId="166" fontId="44" fillId="24" borderId="9" xfId="1" applyNumberFormat="1" applyFont="1" applyFill="1" applyBorder="1" applyAlignment="1">
      <alignment horizontal="center"/>
    </xf>
    <xf numFmtId="166" fontId="45" fillId="29" borderId="28" xfId="1" applyNumberFormat="1" applyFont="1" applyFill="1" applyBorder="1" applyAlignment="1">
      <alignment horizontal="center"/>
    </xf>
    <xf numFmtId="166" fontId="45" fillId="29" borderId="29" xfId="1" applyNumberFormat="1" applyFont="1" applyFill="1" applyBorder="1" applyAlignment="1">
      <alignment horizontal="center"/>
    </xf>
    <xf numFmtId="166" fontId="59" fillId="29" borderId="29" xfId="1" applyNumberFormat="1" applyFont="1" applyFill="1" applyBorder="1" applyAlignment="1">
      <alignment horizontal="center"/>
    </xf>
    <xf numFmtId="166" fontId="45" fillId="29" borderId="30" xfId="1" applyNumberFormat="1" applyFont="1" applyFill="1" applyBorder="1" applyAlignment="1">
      <alignment horizontal="center"/>
    </xf>
    <xf numFmtId="166" fontId="45" fillId="7" borderId="30" xfId="1" applyNumberFormat="1" applyFont="1" applyFill="1" applyBorder="1" applyAlignment="1">
      <alignment horizontal="center"/>
    </xf>
    <xf numFmtId="166" fontId="45" fillId="29" borderId="31" xfId="1" applyNumberFormat="1" applyFont="1" applyFill="1" applyBorder="1" applyAlignment="1">
      <alignment horizontal="center"/>
    </xf>
    <xf numFmtId="166" fontId="44" fillId="29" borderId="30" xfId="1" applyNumberFormat="1" applyFont="1" applyFill="1" applyBorder="1" applyAlignment="1">
      <alignment horizontal="center"/>
    </xf>
    <xf numFmtId="166" fontId="44" fillId="29" borderId="32" xfId="1" applyNumberFormat="1" applyFont="1" applyFill="1" applyBorder="1" applyAlignment="1">
      <alignment horizontal="center"/>
    </xf>
    <xf numFmtId="0" fontId="44" fillId="7" borderId="7" xfId="0" applyFont="1" applyFill="1" applyBorder="1" applyAlignment="1">
      <alignment horizontal="center"/>
    </xf>
    <xf numFmtId="166" fontId="45" fillId="0" borderId="9" xfId="0" applyNumberFormat="1" applyFont="1" applyBorder="1"/>
    <xf numFmtId="166" fontId="45" fillId="19" borderId="9" xfId="0" applyNumberFormat="1" applyFont="1" applyFill="1" applyBorder="1"/>
    <xf numFmtId="166" fontId="45" fillId="7" borderId="9" xfId="0" applyNumberFormat="1" applyFont="1" applyFill="1" applyBorder="1"/>
    <xf numFmtId="0" fontId="44" fillId="0" borderId="9" xfId="0" applyFont="1" applyBorder="1"/>
    <xf numFmtId="0" fontId="44" fillId="29" borderId="1" xfId="0" applyFont="1" applyFill="1" applyBorder="1" applyAlignment="1">
      <alignment horizontal="center"/>
    </xf>
    <xf numFmtId="0" fontId="44" fillId="24" borderId="1" xfId="0" applyFont="1" applyFill="1" applyBorder="1" applyAlignment="1">
      <alignment horizontal="center"/>
    </xf>
    <xf numFmtId="166" fontId="45" fillId="29" borderId="4" xfId="1" applyNumberFormat="1" applyFont="1" applyFill="1" applyBorder="1" applyAlignment="1">
      <alignment horizontal="center"/>
    </xf>
    <xf numFmtId="166" fontId="45" fillId="24" borderId="4" xfId="1" applyNumberFormat="1" applyFont="1" applyFill="1" applyBorder="1" applyAlignment="1">
      <alignment horizontal="center"/>
    </xf>
    <xf numFmtId="166" fontId="59" fillId="29" borderId="4" xfId="1" applyNumberFormat="1" applyFont="1" applyFill="1" applyBorder="1" applyAlignment="1">
      <alignment horizontal="center"/>
    </xf>
    <xf numFmtId="166" fontId="59" fillId="24" borderId="4" xfId="1" applyNumberFormat="1" applyFont="1" applyFill="1" applyBorder="1" applyAlignment="1">
      <alignment horizontal="center"/>
    </xf>
    <xf numFmtId="166" fontId="45" fillId="7" borderId="4" xfId="1" applyNumberFormat="1" applyFont="1" applyFill="1" applyBorder="1" applyAlignment="1">
      <alignment horizontal="center"/>
    </xf>
    <xf numFmtId="166" fontId="44" fillId="29" borderId="4" xfId="1" applyNumberFormat="1" applyFont="1" applyFill="1" applyBorder="1" applyAlignment="1">
      <alignment horizontal="center"/>
    </xf>
    <xf numFmtId="166" fontId="44" fillId="24" borderId="4" xfId="1" applyNumberFormat="1" applyFont="1" applyFill="1" applyBorder="1" applyAlignment="1">
      <alignment horizontal="center"/>
    </xf>
    <xf numFmtId="166" fontId="45" fillId="24" borderId="9" xfId="1" applyNumberFormat="1" applyFont="1" applyFill="1" applyBorder="1" applyAlignment="1">
      <alignment horizontal="center"/>
    </xf>
    <xf numFmtId="166" fontId="59" fillId="24" borderId="9" xfId="1" applyNumberFormat="1" applyFont="1" applyFill="1" applyBorder="1" applyAlignment="1">
      <alignment horizontal="center"/>
    </xf>
    <xf numFmtId="9" fontId="14" fillId="13" borderId="4" xfId="3" applyFont="1" applyFill="1" applyBorder="1" applyAlignment="1">
      <alignment horizontal="justify" vertical="justify"/>
    </xf>
    <xf numFmtId="165" fontId="14" fillId="10" borderId="4" xfId="1" applyNumberFormat="1" applyFont="1" applyFill="1" applyBorder="1" applyAlignment="1">
      <alignment horizontal="justify" vertical="justify"/>
    </xf>
    <xf numFmtId="0" fontId="57" fillId="8" borderId="4" xfId="2" applyFont="1" applyFill="1" applyBorder="1" applyAlignment="1" applyProtection="1">
      <alignment vertical="center" wrapText="1"/>
    </xf>
    <xf numFmtId="166" fontId="45" fillId="0" borderId="4" xfId="0" applyNumberFormat="1" applyFont="1" applyFill="1" applyBorder="1"/>
    <xf numFmtId="0" fontId="44" fillId="29" borderId="7" xfId="0" applyFont="1" applyFill="1" applyBorder="1" applyAlignment="1">
      <alignment horizontal="center"/>
    </xf>
    <xf numFmtId="0" fontId="44" fillId="18" borderId="4" xfId="0" applyFont="1" applyFill="1" applyBorder="1" applyAlignment="1">
      <alignment horizontal="center"/>
    </xf>
    <xf numFmtId="0" fontId="67" fillId="18" borderId="4" xfId="2" applyFont="1" applyFill="1" applyBorder="1" applyAlignment="1" applyProtection="1">
      <alignment horizontal="center" vertical="center" wrapText="1"/>
    </xf>
    <xf numFmtId="166" fontId="67" fillId="0" borderId="0" xfId="1" applyNumberFormat="1" applyFont="1" applyBorder="1" applyAlignment="1">
      <alignment horizontal="center"/>
    </xf>
    <xf numFmtId="0" fontId="59" fillId="18" borderId="0" xfId="2" applyFont="1" applyFill="1" applyBorder="1" applyAlignment="1" applyProtection="1">
      <alignment horizontal="center" vertical="center" wrapText="1"/>
    </xf>
    <xf numFmtId="166" fontId="0" fillId="0" borderId="0" xfId="0" applyNumberFormat="1" applyFill="1"/>
    <xf numFmtId="0" fontId="88" fillId="21" borderId="4" xfId="2" applyFont="1" applyFill="1" applyBorder="1" applyAlignment="1" applyProtection="1">
      <alignment horizontal="center" vertical="center" wrapText="1"/>
    </xf>
    <xf numFmtId="166" fontId="88" fillId="21" borderId="4" xfId="1" applyNumberFormat="1" applyFont="1" applyFill="1" applyBorder="1" applyAlignment="1" applyProtection="1">
      <alignment horizontal="center" vertical="center" wrapText="1"/>
    </xf>
    <xf numFmtId="0" fontId="59" fillId="21" borderId="4" xfId="2" applyFont="1" applyFill="1" applyBorder="1" applyAlignment="1" applyProtection="1">
      <alignment horizontal="center" vertical="center" wrapText="1"/>
    </xf>
    <xf numFmtId="0" fontId="67" fillId="0" borderId="4" xfId="2" applyFont="1" applyFill="1" applyBorder="1" applyAlignment="1" applyProtection="1">
      <alignment horizontal="left" vertical="center" wrapText="1"/>
    </xf>
    <xf numFmtId="166" fontId="82" fillId="0" borderId="0" xfId="1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12" fillId="18" borderId="0" xfId="2" applyFont="1" applyFill="1" applyBorder="1" applyAlignment="1" applyProtection="1">
      <alignment horizontal="center" vertical="center" wrapText="1"/>
    </xf>
    <xf numFmtId="0" fontId="67" fillId="18" borderId="0" xfId="2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165" fontId="7" fillId="21" borderId="4" xfId="1" applyNumberFormat="1" applyFont="1" applyFill="1" applyBorder="1" applyAlignment="1" applyProtection="1">
      <alignment vertical="center" wrapText="1"/>
    </xf>
    <xf numFmtId="166" fontId="9" fillId="0" borderId="0" xfId="0" applyNumberFormat="1" applyFont="1"/>
    <xf numFmtId="0" fontId="53" fillId="0" borderId="0" xfId="2" applyFont="1" applyFill="1" applyBorder="1" applyAlignment="1" applyProtection="1">
      <alignment vertical="center" wrapText="1"/>
    </xf>
    <xf numFmtId="165" fontId="53" fillId="0" borderId="0" xfId="1" applyNumberFormat="1" applyFont="1" applyFill="1" applyBorder="1" applyAlignment="1" applyProtection="1">
      <alignment vertical="center" wrapText="1"/>
    </xf>
    <xf numFmtId="165" fontId="52" fillId="0" borderId="0" xfId="1" applyNumberFormat="1" applyFont="1" applyFill="1" applyBorder="1"/>
    <xf numFmtId="165" fontId="73" fillId="0" borderId="0" xfId="1" applyNumberFormat="1" applyFont="1" applyFill="1" applyBorder="1"/>
    <xf numFmtId="0" fontId="44" fillId="18" borderId="9" xfId="0" applyFont="1" applyFill="1" applyBorder="1" applyAlignment="1">
      <alignment horizontal="center"/>
    </xf>
    <xf numFmtId="14" fontId="67" fillId="18" borderId="4" xfId="2" applyNumberFormat="1" applyFont="1" applyFill="1" applyBorder="1" applyAlignment="1" applyProtection="1">
      <alignment vertical="center" wrapText="1"/>
    </xf>
    <xf numFmtId="0" fontId="51" fillId="0" borderId="4" xfId="2" applyFont="1" applyFill="1" applyBorder="1" applyAlignment="1" applyProtection="1">
      <alignment vertical="center" wrapText="1"/>
    </xf>
    <xf numFmtId="0" fontId="57" fillId="0" borderId="1" xfId="2" applyFont="1" applyFill="1" applyBorder="1" applyAlignment="1" applyProtection="1">
      <alignment vertical="center" wrapText="1"/>
    </xf>
    <xf numFmtId="0" fontId="57" fillId="18" borderId="1" xfId="2" applyFont="1" applyFill="1" applyBorder="1" applyAlignment="1" applyProtection="1">
      <alignment vertical="center" wrapText="1"/>
    </xf>
    <xf numFmtId="0" fontId="0" fillId="0" borderId="1" xfId="0" applyBorder="1"/>
    <xf numFmtId="3" fontId="8" fillId="0" borderId="0" xfId="0" applyNumberFormat="1" applyFont="1"/>
    <xf numFmtId="165" fontId="63" fillId="19" borderId="4" xfId="1" applyNumberFormat="1" applyFont="1" applyFill="1" applyBorder="1"/>
    <xf numFmtId="0" fontId="67" fillId="18" borderId="4" xfId="2" applyFont="1" applyFill="1" applyBorder="1" applyAlignment="1" applyProtection="1">
      <alignment horizontal="center" vertical="center" wrapText="1"/>
    </xf>
    <xf numFmtId="166" fontId="50" fillId="0" borderId="0" xfId="1" applyNumberFormat="1" applyFont="1" applyFill="1"/>
    <xf numFmtId="0" fontId="77" fillId="0" borderId="0" xfId="0" applyFont="1"/>
    <xf numFmtId="166" fontId="77" fillId="0" borderId="0" xfId="1" applyNumberFormat="1" applyFont="1"/>
    <xf numFmtId="166" fontId="50" fillId="0" borderId="0" xfId="1" applyNumberFormat="1" applyFont="1"/>
    <xf numFmtId="43" fontId="44" fillId="0" borderId="4" xfId="1" applyFont="1" applyBorder="1"/>
    <xf numFmtId="0" fontId="85" fillId="0" borderId="4" xfId="0" applyFont="1" applyBorder="1" applyAlignment="1">
      <alignment horizontal="center"/>
    </xf>
    <xf numFmtId="0" fontId="7" fillId="10" borderId="0" xfId="2" applyFont="1" applyFill="1" applyBorder="1" applyAlignment="1" applyProtection="1">
      <alignment vertical="center" wrapText="1"/>
    </xf>
    <xf numFmtId="0" fontId="17" fillId="28" borderId="0" xfId="0" applyFont="1" applyFill="1" applyBorder="1" applyAlignment="1">
      <alignment horizontal="justify" vertical="justify" textRotation="180"/>
    </xf>
    <xf numFmtId="0" fontId="7" fillId="28" borderId="0" xfId="2" applyFont="1" applyFill="1" applyBorder="1" applyAlignment="1" applyProtection="1">
      <alignment vertical="center" wrapText="1"/>
    </xf>
    <xf numFmtId="0" fontId="7" fillId="0" borderId="0" xfId="2" applyFont="1" applyFill="1" applyBorder="1" applyAlignment="1" applyProtection="1">
      <alignment vertical="center" wrapText="1"/>
    </xf>
    <xf numFmtId="0" fontId="17" fillId="4" borderId="0" xfId="0" applyFont="1" applyFill="1" applyBorder="1" applyAlignment="1">
      <alignment horizontal="justify" vertical="justify" textRotation="180"/>
    </xf>
    <xf numFmtId="0" fontId="7" fillId="4" borderId="0" xfId="2" applyFont="1" applyFill="1" applyBorder="1" applyAlignment="1" applyProtection="1">
      <alignment vertical="center" wrapText="1"/>
    </xf>
    <xf numFmtId="43" fontId="7" fillId="0" borderId="0" xfId="1" applyFont="1" applyFill="1" applyBorder="1" applyAlignment="1" applyProtection="1">
      <alignment vertical="center" wrapText="1"/>
    </xf>
    <xf numFmtId="0" fontId="7" fillId="22" borderId="0" xfId="2" applyFont="1" applyFill="1" applyBorder="1" applyAlignment="1" applyProtection="1">
      <alignment vertical="center" wrapText="1"/>
    </xf>
    <xf numFmtId="0" fontId="7" fillId="21" borderId="0" xfId="2" applyFont="1" applyFill="1" applyBorder="1" applyAlignment="1" applyProtection="1">
      <alignment vertical="center" wrapText="1"/>
    </xf>
    <xf numFmtId="0" fontId="7" fillId="24" borderId="0" xfId="2" applyFont="1" applyFill="1" applyBorder="1" applyAlignment="1" applyProtection="1">
      <alignment vertical="center" wrapText="1"/>
    </xf>
    <xf numFmtId="2" fontId="7" fillId="0" borderId="0" xfId="2" applyNumberFormat="1" applyFont="1" applyFill="1" applyBorder="1" applyAlignment="1" applyProtection="1">
      <alignment vertical="center" wrapText="1"/>
    </xf>
    <xf numFmtId="0" fontId="46" fillId="0" borderId="4" xfId="2" applyFont="1" applyFill="1" applyBorder="1" applyAlignment="1" applyProtection="1">
      <alignment vertical="center" wrapText="1"/>
    </xf>
    <xf numFmtId="0" fontId="59" fillId="19" borderId="1" xfId="2" applyFont="1" applyFill="1" applyBorder="1" applyAlignment="1" applyProtection="1">
      <alignment vertical="center" wrapText="1"/>
    </xf>
    <xf numFmtId="0" fontId="45" fillId="19" borderId="4" xfId="0" applyFont="1" applyFill="1" applyBorder="1"/>
    <xf numFmtId="0" fontId="45" fillId="7" borderId="4" xfId="0" applyFont="1" applyFill="1" applyBorder="1"/>
    <xf numFmtId="165" fontId="63" fillId="0" borderId="0" xfId="0" applyNumberFormat="1" applyFont="1" applyFill="1"/>
    <xf numFmtId="0" fontId="0" fillId="0" borderId="4" xfId="0" applyFont="1" applyBorder="1" applyAlignment="1">
      <alignment wrapText="1"/>
    </xf>
    <xf numFmtId="0" fontId="7" fillId="4" borderId="33" xfId="2" applyFont="1" applyFill="1" applyBorder="1" applyAlignment="1" applyProtection="1">
      <alignment vertical="center" wrapText="1"/>
    </xf>
    <xf numFmtId="0" fontId="17" fillId="22" borderId="2" xfId="0" applyFont="1" applyFill="1" applyBorder="1" applyAlignment="1">
      <alignment horizontal="justify" vertical="justify" textRotation="180"/>
    </xf>
    <xf numFmtId="0" fontId="17" fillId="21" borderId="2" xfId="0" applyFont="1" applyFill="1" applyBorder="1" applyAlignment="1">
      <alignment horizontal="justify" vertical="justify" textRotation="180"/>
    </xf>
    <xf numFmtId="0" fontId="17" fillId="24" borderId="2" xfId="0" applyFont="1" applyFill="1" applyBorder="1" applyAlignment="1">
      <alignment horizontal="justify" vertical="justify" textRotation="180"/>
    </xf>
    <xf numFmtId="2" fontId="17" fillId="8" borderId="2" xfId="0" applyNumberFormat="1" applyFont="1" applyFill="1" applyBorder="1" applyAlignment="1">
      <alignment horizontal="justify" vertical="justify" textRotation="180"/>
    </xf>
    <xf numFmtId="0" fontId="7" fillId="4" borderId="4" xfId="2" applyFont="1" applyFill="1" applyBorder="1" applyAlignment="1" applyProtection="1">
      <alignment vertical="center" wrapText="1"/>
    </xf>
    <xf numFmtId="2" fontId="50" fillId="0" borderId="4" xfId="0" applyNumberFormat="1" applyFont="1" applyBorder="1"/>
    <xf numFmtId="165" fontId="77" fillId="0" borderId="4" xfId="0" applyNumberFormat="1" applyFont="1" applyFill="1" applyBorder="1"/>
    <xf numFmtId="166" fontId="59" fillId="21" borderId="4" xfId="1" applyNumberFormat="1" applyFont="1" applyFill="1" applyBorder="1" applyAlignment="1" applyProtection="1">
      <alignment horizontal="center" vertical="center" wrapText="1"/>
    </xf>
    <xf numFmtId="166" fontId="59" fillId="21" borderId="4" xfId="2" applyNumberFormat="1" applyFont="1" applyFill="1" applyBorder="1" applyAlignment="1" applyProtection="1">
      <alignment horizontal="center" vertical="center" wrapText="1"/>
    </xf>
    <xf numFmtId="0" fontId="67" fillId="0" borderId="7" xfId="2" applyFont="1" applyFill="1" applyBorder="1" applyAlignment="1" applyProtection="1">
      <alignment horizontal="center" vertical="center" wrapText="1"/>
    </xf>
    <xf numFmtId="0" fontId="67" fillId="18" borderId="8" xfId="2" applyFont="1" applyFill="1" applyBorder="1" applyAlignment="1" applyProtection="1">
      <alignment horizontal="left" vertical="center" wrapText="1"/>
    </xf>
    <xf numFmtId="0" fontId="67" fillId="18" borderId="9" xfId="2" applyFont="1" applyFill="1" applyBorder="1" applyAlignment="1" applyProtection="1">
      <alignment horizontal="center" vertical="center" wrapText="1"/>
    </xf>
    <xf numFmtId="166" fontId="67" fillId="0" borderId="9" xfId="1" applyNumberFormat="1" applyFont="1" applyFill="1" applyBorder="1" applyAlignment="1" applyProtection="1">
      <alignment vertical="center" wrapText="1"/>
    </xf>
    <xf numFmtId="0" fontId="67" fillId="0" borderId="9" xfId="0" applyFont="1" applyFill="1" applyBorder="1"/>
    <xf numFmtId="0" fontId="45" fillId="24" borderId="1" xfId="0" applyFont="1" applyFill="1" applyBorder="1" applyAlignment="1">
      <alignment horizontal="center"/>
    </xf>
    <xf numFmtId="0" fontId="50" fillId="18" borderId="4" xfId="0" applyFont="1" applyFill="1" applyBorder="1"/>
    <xf numFmtId="14" fontId="54" fillId="0" borderId="0" xfId="0" applyNumberFormat="1" applyFont="1"/>
    <xf numFmtId="0" fontId="73" fillId="10" borderId="4" xfId="0" applyFont="1" applyFill="1" applyBorder="1" applyAlignment="1">
      <alignment horizontal="center"/>
    </xf>
    <xf numFmtId="0" fontId="73" fillId="0" borderId="4" xfId="0" applyFont="1" applyFill="1" applyBorder="1" applyAlignment="1">
      <alignment horizontal="center"/>
    </xf>
    <xf numFmtId="165" fontId="68" fillId="10" borderId="4" xfId="1" applyNumberFormat="1" applyFont="1" applyFill="1" applyBorder="1" applyAlignment="1">
      <alignment horizontal="center"/>
    </xf>
    <xf numFmtId="165" fontId="52" fillId="10" borderId="4" xfId="1" applyNumberFormat="1" applyFont="1" applyFill="1" applyBorder="1" applyAlignment="1">
      <alignment horizontal="center"/>
    </xf>
    <xf numFmtId="165" fontId="73" fillId="10" borderId="4" xfId="1" applyNumberFormat="1" applyFont="1" applyFill="1" applyBorder="1" applyAlignment="1">
      <alignment horizontal="center"/>
    </xf>
    <xf numFmtId="165" fontId="73" fillId="10" borderId="1" xfId="1" applyNumberFormat="1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0" fontId="52" fillId="0" borderId="4" xfId="2" applyFont="1" applyFill="1" applyBorder="1" applyAlignment="1" applyProtection="1">
      <alignment vertical="center" wrapText="1"/>
    </xf>
    <xf numFmtId="0" fontId="53" fillId="0" borderId="4" xfId="2" applyFont="1" applyFill="1" applyBorder="1" applyAlignment="1" applyProtection="1">
      <alignment horizontal="center" vertical="center" wrapText="1"/>
    </xf>
    <xf numFmtId="0" fontId="53" fillId="3" borderId="4" xfId="2" applyFont="1" applyFill="1" applyBorder="1" applyAlignment="1" applyProtection="1">
      <alignment horizontal="center" vertical="center" wrapText="1"/>
    </xf>
    <xf numFmtId="166" fontId="89" fillId="13" borderId="0" xfId="1" applyNumberFormat="1" applyFont="1" applyFill="1"/>
    <xf numFmtId="166" fontId="61" fillId="12" borderId="1" xfId="1" applyNumberFormat="1" applyFont="1" applyFill="1" applyBorder="1" applyAlignment="1" applyProtection="1">
      <alignment vertical="center" wrapText="1"/>
    </xf>
    <xf numFmtId="166" fontId="61" fillId="0" borderId="4" xfId="1" applyNumberFormat="1" applyFont="1" applyFill="1" applyBorder="1" applyAlignment="1" applyProtection="1">
      <alignment horizontal="center" vertical="center" wrapText="1"/>
    </xf>
    <xf numFmtId="166" fontId="61" fillId="8" borderId="4" xfId="1" applyNumberFormat="1" applyFont="1" applyFill="1" applyBorder="1" applyAlignment="1" applyProtection="1">
      <alignment vertical="center" wrapText="1"/>
    </xf>
    <xf numFmtId="166" fontId="89" fillId="10" borderId="4" xfId="1" applyNumberFormat="1" applyFont="1" applyFill="1" applyBorder="1" applyAlignment="1" applyProtection="1">
      <alignment vertical="center" wrapText="1"/>
    </xf>
    <xf numFmtId="166" fontId="89" fillId="0" borderId="4" xfId="1" applyNumberFormat="1" applyFont="1" applyFill="1" applyBorder="1" applyAlignment="1" applyProtection="1">
      <alignment vertical="center" wrapText="1"/>
    </xf>
    <xf numFmtId="166" fontId="89" fillId="18" borderId="4" xfId="1" applyNumberFormat="1" applyFont="1" applyFill="1" applyBorder="1" applyAlignment="1" applyProtection="1">
      <alignment vertical="center" wrapText="1"/>
    </xf>
    <xf numFmtId="166" fontId="89" fillId="8" borderId="4" xfId="1" applyNumberFormat="1" applyFont="1" applyFill="1" applyBorder="1" applyAlignment="1" applyProtection="1">
      <alignment vertical="center" wrapText="1"/>
    </xf>
    <xf numFmtId="166" fontId="61" fillId="19" borderId="4" xfId="1" applyNumberFormat="1" applyFont="1" applyFill="1" applyBorder="1" applyAlignment="1" applyProtection="1">
      <alignment vertical="center" wrapText="1"/>
    </xf>
    <xf numFmtId="166" fontId="61" fillId="0" borderId="0" xfId="1" applyNumberFormat="1" applyFont="1" applyFill="1" applyBorder="1" applyAlignment="1" applyProtection="1">
      <alignment vertical="center" wrapText="1"/>
    </xf>
    <xf numFmtId="166" fontId="90" fillId="0" borderId="0" xfId="1" applyNumberFormat="1" applyFont="1"/>
    <xf numFmtId="166" fontId="91" fillId="0" borderId="0" xfId="1" applyNumberFormat="1" applyFont="1"/>
    <xf numFmtId="166" fontId="62" fillId="0" borderId="0" xfId="1" applyNumberFormat="1" applyFont="1"/>
    <xf numFmtId="166" fontId="89" fillId="0" borderId="0" xfId="1" applyNumberFormat="1" applyFont="1"/>
    <xf numFmtId="164" fontId="89" fillId="10" borderId="4" xfId="1" applyNumberFormat="1" applyFont="1" applyFill="1" applyBorder="1" applyAlignment="1" applyProtection="1">
      <alignment vertical="center" wrapText="1"/>
    </xf>
    <xf numFmtId="43" fontId="89" fillId="0" borderId="4" xfId="1" applyNumberFormat="1" applyFont="1" applyFill="1" applyBorder="1" applyAlignment="1" applyProtection="1">
      <alignment vertical="center" wrapText="1"/>
    </xf>
    <xf numFmtId="43" fontId="89" fillId="18" borderId="4" xfId="1" applyNumberFormat="1" applyFont="1" applyFill="1" applyBorder="1" applyAlignment="1" applyProtection="1">
      <alignment vertical="center" wrapText="1"/>
    </xf>
    <xf numFmtId="166" fontId="90" fillId="0" borderId="0" xfId="1" applyNumberFormat="1" applyFont="1" applyFill="1"/>
    <xf numFmtId="166" fontId="89" fillId="0" borderId="0" xfId="1" applyNumberFormat="1" applyFont="1" applyFill="1"/>
    <xf numFmtId="166" fontId="89" fillId="19" borderId="4" xfId="1" applyNumberFormat="1" applyFont="1" applyFill="1" applyBorder="1" applyAlignment="1" applyProtection="1">
      <alignment vertical="center" wrapText="1"/>
    </xf>
    <xf numFmtId="166" fontId="89" fillId="0" borderId="0" xfId="1" applyNumberFormat="1" applyFont="1" applyFill="1" applyBorder="1" applyAlignment="1" applyProtection="1">
      <alignment vertical="center" wrapText="1"/>
    </xf>
    <xf numFmtId="166" fontId="62" fillId="0" borderId="0" xfId="1" applyNumberFormat="1" applyFont="1" applyFill="1"/>
    <xf numFmtId="166" fontId="91" fillId="0" borderId="0" xfId="1" applyNumberFormat="1" applyFont="1" applyFill="1"/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6" fontId="11" fillId="0" borderId="0" xfId="1" applyNumberFormat="1" applyFont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51" fillId="19" borderId="7" xfId="0" applyFont="1" applyFill="1" applyBorder="1" applyAlignment="1">
      <alignment horizontal="center"/>
    </xf>
    <xf numFmtId="0" fontId="51" fillId="19" borderId="8" xfId="0" applyFont="1" applyFill="1" applyBorder="1" applyAlignment="1">
      <alignment horizontal="center"/>
    </xf>
    <xf numFmtId="0" fontId="51" fillId="19" borderId="9" xfId="0" applyFont="1" applyFill="1" applyBorder="1" applyAlignment="1">
      <alignment horizontal="center"/>
    </xf>
    <xf numFmtId="0" fontId="56" fillId="0" borderId="11" xfId="0" applyFont="1" applyBorder="1" applyAlignment="1">
      <alignment horizontal="center" vertical="center"/>
    </xf>
    <xf numFmtId="0" fontId="67" fillId="18" borderId="4" xfId="2" applyFont="1" applyFill="1" applyBorder="1" applyAlignment="1" applyProtection="1">
      <alignment horizontal="center" vertical="center" wrapText="1"/>
    </xf>
    <xf numFmtId="166" fontId="67" fillId="0" borderId="0" xfId="1" applyNumberFormat="1" applyFont="1" applyBorder="1" applyAlignment="1">
      <alignment horizontal="center"/>
    </xf>
    <xf numFmtId="166" fontId="57" fillId="0" borderId="0" xfId="1" applyNumberFormat="1" applyFont="1" applyBorder="1" applyAlignment="1">
      <alignment horizontal="center"/>
    </xf>
    <xf numFmtId="0" fontId="59" fillId="0" borderId="7" xfId="2" applyFont="1" applyFill="1" applyBorder="1" applyAlignment="1" applyProtection="1">
      <alignment horizontal="center" vertical="center" wrapText="1"/>
    </xf>
    <xf numFmtId="0" fontId="59" fillId="0" borderId="8" xfId="2" applyFont="1" applyFill="1" applyBorder="1" applyAlignment="1" applyProtection="1">
      <alignment horizontal="center" vertical="center" wrapText="1"/>
    </xf>
    <xf numFmtId="0" fontId="59" fillId="0" borderId="9" xfId="2" applyFont="1" applyFill="1" applyBorder="1" applyAlignment="1" applyProtection="1">
      <alignment horizontal="center" vertical="center" wrapText="1"/>
    </xf>
    <xf numFmtId="0" fontId="59" fillId="18" borderId="0" xfId="2" applyFont="1" applyFill="1" applyBorder="1" applyAlignment="1" applyProtection="1">
      <alignment horizontal="center" vertical="center" wrapText="1"/>
    </xf>
    <xf numFmtId="0" fontId="59" fillId="18" borderId="7" xfId="2" applyFont="1" applyFill="1" applyBorder="1" applyAlignment="1" applyProtection="1">
      <alignment horizontal="center" vertical="center" wrapText="1"/>
    </xf>
    <xf numFmtId="0" fontId="59" fillId="18" borderId="8" xfId="2" applyFont="1" applyFill="1" applyBorder="1" applyAlignment="1" applyProtection="1">
      <alignment horizontal="center" vertical="center" wrapText="1"/>
    </xf>
    <xf numFmtId="0" fontId="59" fillId="18" borderId="9" xfId="2" applyFont="1" applyFill="1" applyBorder="1" applyAlignment="1" applyProtection="1">
      <alignment horizontal="center" vertical="center" wrapText="1"/>
    </xf>
    <xf numFmtId="0" fontId="59" fillId="21" borderId="14" xfId="2" applyFont="1" applyFill="1" applyBorder="1" applyAlignment="1" applyProtection="1">
      <alignment horizontal="center" vertical="center" wrapText="1"/>
    </xf>
    <xf numFmtId="0" fontId="59" fillId="21" borderId="11" xfId="2" applyFont="1" applyFill="1" applyBorder="1" applyAlignment="1" applyProtection="1">
      <alignment horizontal="center" vertical="center" wrapText="1"/>
    </xf>
    <xf numFmtId="0" fontId="59" fillId="18" borderId="11" xfId="2" applyFont="1" applyFill="1" applyBorder="1" applyAlignment="1" applyProtection="1">
      <alignment horizontal="center" vertical="center" wrapText="1"/>
    </xf>
    <xf numFmtId="0" fontId="14" fillId="10" borderId="4" xfId="0" applyFont="1" applyFill="1" applyBorder="1" applyAlignment="1">
      <alignment horizontal="center"/>
    </xf>
    <xf numFmtId="9" fontId="14" fillId="13" borderId="4" xfId="3" applyFont="1" applyFill="1" applyBorder="1" applyAlignment="1">
      <alignment horizontal="justify" vertical="justify"/>
    </xf>
    <xf numFmtId="165" fontId="14" fillId="10" borderId="4" xfId="1" applyNumberFormat="1" applyFont="1" applyFill="1" applyBorder="1" applyAlignment="1">
      <alignment horizontal="justify" vertical="justify"/>
    </xf>
    <xf numFmtId="165" fontId="14" fillId="10" borderId="1" xfId="1" applyNumberFormat="1" applyFont="1" applyFill="1" applyBorder="1" applyAlignment="1">
      <alignment horizontal="justify" vertical="justify"/>
    </xf>
    <xf numFmtId="165" fontId="14" fillId="10" borderId="3" xfId="1" applyNumberFormat="1" applyFont="1" applyFill="1" applyBorder="1" applyAlignment="1">
      <alignment horizontal="justify" vertical="justify"/>
    </xf>
    <xf numFmtId="165" fontId="14" fillId="10" borderId="7" xfId="1" applyNumberFormat="1" applyFont="1" applyFill="1" applyBorder="1" applyAlignment="1">
      <alignment horizontal="center"/>
    </xf>
    <xf numFmtId="165" fontId="14" fillId="10" borderId="9" xfId="1" applyNumberFormat="1" applyFont="1" applyFill="1" applyBorder="1" applyAlignment="1">
      <alignment horizontal="center"/>
    </xf>
    <xf numFmtId="165" fontId="14" fillId="10" borderId="4" xfId="1" applyNumberFormat="1" applyFont="1" applyFill="1" applyBorder="1" applyAlignment="1">
      <alignment horizontal="center"/>
    </xf>
    <xf numFmtId="0" fontId="45" fillId="0" borderId="4" xfId="0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4" fillId="19" borderId="7" xfId="0" applyFont="1" applyFill="1" applyBorder="1" applyAlignment="1">
      <alignment horizontal="center"/>
    </xf>
    <xf numFmtId="0" fontId="44" fillId="19" borderId="8" xfId="0" applyFont="1" applyFill="1" applyBorder="1" applyAlignment="1">
      <alignment horizontal="center"/>
    </xf>
    <xf numFmtId="0" fontId="44" fillId="19" borderId="9" xfId="0" applyFont="1" applyFill="1" applyBorder="1" applyAlignment="1">
      <alignment horizontal="center"/>
    </xf>
    <xf numFmtId="0" fontId="44" fillId="29" borderId="7" xfId="0" applyFont="1" applyFill="1" applyBorder="1" applyAlignment="1">
      <alignment horizontal="center"/>
    </xf>
    <xf numFmtId="0" fontId="44" fillId="29" borderId="8" xfId="0" applyFont="1" applyFill="1" applyBorder="1" applyAlignment="1">
      <alignment horizontal="center"/>
    </xf>
    <xf numFmtId="0" fontId="44" fillId="29" borderId="9" xfId="0" applyFont="1" applyFill="1" applyBorder="1" applyAlignment="1">
      <alignment horizontal="center"/>
    </xf>
    <xf numFmtId="0" fontId="44" fillId="18" borderId="4" xfId="0" applyFont="1" applyFill="1" applyBorder="1" applyAlignment="1">
      <alignment horizontal="center"/>
    </xf>
    <xf numFmtId="0" fontId="78" fillId="0" borderId="0" xfId="0" applyFont="1" applyAlignment="1">
      <alignment horizontal="center" vertical="center"/>
    </xf>
    <xf numFmtId="0" fontId="78" fillId="18" borderId="7" xfId="0" applyFont="1" applyFill="1" applyBorder="1" applyAlignment="1">
      <alignment horizontal="center" vertical="center"/>
    </xf>
    <xf numFmtId="0" fontId="78" fillId="18" borderId="8" xfId="0" applyFont="1" applyFill="1" applyBorder="1" applyAlignment="1">
      <alignment horizontal="center" vertical="center"/>
    </xf>
    <xf numFmtId="0" fontId="78" fillId="18" borderId="9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65" fontId="73" fillId="10" borderId="7" xfId="1" applyNumberFormat="1" applyFont="1" applyFill="1" applyBorder="1" applyAlignment="1">
      <alignment horizontal="center"/>
    </xf>
    <xf numFmtId="165" fontId="73" fillId="10" borderId="9" xfId="1" applyNumberFormat="1" applyFont="1" applyFill="1" applyBorder="1" applyAlignment="1">
      <alignment horizontal="center"/>
    </xf>
    <xf numFmtId="165" fontId="52" fillId="10" borderId="7" xfId="1" applyNumberFormat="1" applyFont="1" applyFill="1" applyBorder="1" applyAlignment="1">
      <alignment horizontal="center"/>
    </xf>
    <xf numFmtId="165" fontId="52" fillId="10" borderId="9" xfId="1" applyNumberFormat="1" applyFont="1" applyFill="1" applyBorder="1" applyAlignment="1">
      <alignment horizontal="center"/>
    </xf>
    <xf numFmtId="0" fontId="73" fillId="10" borderId="4" xfId="0" applyFont="1" applyFill="1" applyBorder="1" applyAlignment="1">
      <alignment horizontal="center"/>
    </xf>
    <xf numFmtId="0" fontId="73" fillId="18" borderId="4" xfId="0" applyFont="1" applyFill="1" applyBorder="1" applyAlignment="1">
      <alignment horizontal="center"/>
    </xf>
    <xf numFmtId="165" fontId="73" fillId="10" borderId="14" xfId="1" applyNumberFormat="1" applyFont="1" applyFill="1" applyBorder="1" applyAlignment="1">
      <alignment horizontal="center"/>
    </xf>
    <xf numFmtId="165" fontId="73" fillId="10" borderId="11" xfId="1" applyNumberFormat="1" applyFont="1" applyFill="1" applyBorder="1" applyAlignment="1">
      <alignment horizontal="center"/>
    </xf>
    <xf numFmtId="0" fontId="83" fillId="0" borderId="27" xfId="0" applyFont="1" applyBorder="1" applyAlignment="1">
      <alignment horizontal="center" vertical="top" wrapText="1"/>
    </xf>
    <xf numFmtId="0" fontId="83" fillId="0" borderId="0" xfId="0" applyFont="1" applyBorder="1" applyAlignment="1">
      <alignment horizontal="center" vertical="top" wrapText="1"/>
    </xf>
    <xf numFmtId="166" fontId="84" fillId="0" borderId="16" xfId="1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/>
    </xf>
    <xf numFmtId="166" fontId="9" fillId="0" borderId="0" xfId="1" applyNumberFormat="1" applyFont="1" applyAlignment="1">
      <alignment horizontal="center"/>
    </xf>
    <xf numFmtId="166" fontId="51" fillId="19" borderId="0" xfId="1" applyNumberFormat="1" applyFont="1" applyFill="1" applyAlignment="1">
      <alignment horizontal="center"/>
    </xf>
    <xf numFmtId="166" fontId="57" fillId="19" borderId="0" xfId="1" applyNumberFormat="1" applyFont="1" applyFill="1" applyAlignment="1">
      <alignment horizontal="center"/>
    </xf>
    <xf numFmtId="166" fontId="51" fillId="0" borderId="0" xfId="1" applyNumberFormat="1" applyFont="1" applyFill="1" applyAlignment="1">
      <alignment horizontal="center"/>
    </xf>
    <xf numFmtId="166" fontId="9" fillId="0" borderId="0" xfId="1" applyNumberFormat="1" applyFont="1" applyFill="1" applyAlignment="1">
      <alignment horizontal="center"/>
    </xf>
    <xf numFmtId="0" fontId="18" fillId="0" borderId="7" xfId="2" applyFont="1" applyFill="1" applyBorder="1" applyAlignment="1" applyProtection="1">
      <alignment horizontal="center" vertical="center" wrapText="1"/>
    </xf>
    <xf numFmtId="0" fontId="18" fillId="0" borderId="8" xfId="2" applyFont="1" applyFill="1" applyBorder="1" applyAlignment="1" applyProtection="1">
      <alignment horizontal="center" vertical="center" wrapText="1"/>
    </xf>
    <xf numFmtId="0" fontId="18" fillId="0" borderId="9" xfId="2" applyFont="1" applyFill="1" applyBorder="1" applyAlignment="1" applyProtection="1">
      <alignment horizontal="center" vertical="center" wrapText="1"/>
    </xf>
    <xf numFmtId="0" fontId="4" fillId="10" borderId="14" xfId="2" applyFont="1" applyFill="1" applyBorder="1" applyAlignment="1" applyProtection="1">
      <alignment horizontal="center" vertical="center" wrapText="1"/>
    </xf>
    <xf numFmtId="0" fontId="4" fillId="10" borderId="11" xfId="2" applyFont="1" applyFill="1" applyBorder="1" applyAlignment="1" applyProtection="1">
      <alignment horizontal="center" vertical="center" wrapText="1"/>
    </xf>
    <xf numFmtId="0" fontId="4" fillId="10" borderId="15" xfId="2" applyFont="1" applyFill="1" applyBorder="1" applyAlignment="1" applyProtection="1">
      <alignment horizontal="center" vertical="center" wrapText="1"/>
    </xf>
    <xf numFmtId="0" fontId="4" fillId="2" borderId="7" xfId="2" applyFont="1" applyFill="1" applyBorder="1" applyAlignment="1" applyProtection="1">
      <alignment horizontal="center" vertical="center" wrapText="1"/>
    </xf>
    <xf numFmtId="0" fontId="4" fillId="2" borderId="8" xfId="2" applyFont="1" applyFill="1" applyBorder="1" applyAlignment="1" applyProtection="1">
      <alignment horizontal="center" vertical="center" wrapText="1"/>
    </xf>
    <xf numFmtId="0" fontId="4" fillId="2" borderId="9" xfId="2" applyFont="1" applyFill="1" applyBorder="1" applyAlignment="1" applyProtection="1">
      <alignment horizontal="center" vertical="center" wrapText="1"/>
    </xf>
    <xf numFmtId="0" fontId="9" fillId="0" borderId="7" xfId="2" applyFont="1" applyFill="1" applyBorder="1" applyAlignment="1" applyProtection="1">
      <alignment horizontal="center" vertical="center" wrapText="1"/>
    </xf>
    <xf numFmtId="0" fontId="9" fillId="0" borderId="8" xfId="2" applyFont="1" applyFill="1" applyBorder="1" applyAlignment="1" applyProtection="1">
      <alignment horizontal="center" vertical="center" wrapText="1"/>
    </xf>
    <xf numFmtId="0" fontId="9" fillId="0" borderId="9" xfId="2" applyFont="1" applyFill="1" applyBorder="1" applyAlignment="1" applyProtection="1">
      <alignment horizontal="center" vertical="center" wrapText="1"/>
    </xf>
    <xf numFmtId="43" fontId="18" fillId="22" borderId="7" xfId="1" applyFont="1" applyFill="1" applyBorder="1" applyAlignment="1" applyProtection="1">
      <alignment horizontal="center" vertical="center" wrapText="1"/>
    </xf>
    <xf numFmtId="43" fontId="18" fillId="22" borderId="8" xfId="1" applyFont="1" applyFill="1" applyBorder="1" applyAlignment="1" applyProtection="1">
      <alignment horizontal="center" vertical="center" wrapText="1"/>
    </xf>
    <xf numFmtId="43" fontId="18" fillId="22" borderId="9" xfId="1" applyFont="1" applyFill="1" applyBorder="1" applyAlignment="1" applyProtection="1">
      <alignment horizontal="center" vertical="center" wrapText="1"/>
    </xf>
    <xf numFmtId="0" fontId="18" fillId="22" borderId="7" xfId="2" applyFont="1" applyFill="1" applyBorder="1" applyAlignment="1" applyProtection="1">
      <alignment horizontal="center" vertical="center"/>
    </xf>
    <xf numFmtId="0" fontId="18" fillId="22" borderId="8" xfId="2" applyFont="1" applyFill="1" applyBorder="1" applyAlignment="1" applyProtection="1">
      <alignment horizontal="center" vertical="center"/>
    </xf>
    <xf numFmtId="0" fontId="18" fillId="22" borderId="9" xfId="2" applyFont="1" applyFill="1" applyBorder="1" applyAlignment="1" applyProtection="1">
      <alignment horizontal="center" vertical="center"/>
    </xf>
    <xf numFmtId="0" fontId="18" fillId="0" borderId="4" xfId="2" applyFont="1" applyFill="1" applyBorder="1" applyAlignment="1" applyProtection="1">
      <alignment horizontal="center" vertical="center" wrapText="1"/>
    </xf>
    <xf numFmtId="0" fontId="9" fillId="22" borderId="7" xfId="2" applyFont="1" applyFill="1" applyBorder="1" applyAlignment="1" applyProtection="1">
      <alignment horizontal="center" vertical="center"/>
    </xf>
    <xf numFmtId="0" fontId="9" fillId="22" borderId="8" xfId="2" applyFont="1" applyFill="1" applyBorder="1" applyAlignment="1" applyProtection="1">
      <alignment horizontal="center" vertical="center"/>
    </xf>
    <xf numFmtId="0" fontId="9" fillId="22" borderId="9" xfId="2" applyFont="1" applyFill="1" applyBorder="1" applyAlignment="1" applyProtection="1">
      <alignment horizontal="center" vertical="center"/>
    </xf>
    <xf numFmtId="0" fontId="9" fillId="0" borderId="4" xfId="2" applyFont="1" applyFill="1" applyBorder="1" applyAlignment="1" applyProtection="1">
      <alignment horizontal="center" vertical="center" wrapText="1"/>
    </xf>
  </cellXfs>
  <cellStyles count="21">
    <cellStyle name="Comma" xfId="1" builtinId="3"/>
    <cellStyle name="Comma 10" xfId="19"/>
    <cellStyle name="Comma 2" xfId="9"/>
    <cellStyle name="Comma 2 2" xfId="10"/>
    <cellStyle name="Comma 3" xfId="6"/>
    <cellStyle name="Comma 3 2" xfId="11"/>
    <cellStyle name="Comma 4" xfId="8"/>
    <cellStyle name="Currency 2" xfId="13"/>
    <cellStyle name="Currency 3" xfId="12"/>
    <cellStyle name="Normal" xfId="0" builtinId="0"/>
    <cellStyle name="Normal 10" xfId="20"/>
    <cellStyle name="Normal 2" xfId="2"/>
    <cellStyle name="Normal 2 2" xfId="15"/>
    <cellStyle name="Normal 2 3" xfId="14"/>
    <cellStyle name="Normal 3" xfId="4"/>
    <cellStyle name="Normal 3 2" xfId="16"/>
    <cellStyle name="Normal 4" xfId="17"/>
    <cellStyle name="Normal 5" xfId="18"/>
    <cellStyle name="Normal 6" xfId="7"/>
    <cellStyle name="Percent" xfId="3" builtinId="5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Local\Microsoft\Windows\Temporary%20Internet%20Files\Content.Outlook\P8K1CKYC\B&#7842;NG%20L&#431;&#416;NG%20C&#193;C%20BO%20PHAN%20KHAC%20T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INH%20THOA\CH&#7844;M%20C&#212;NG\2019\Th&#225;ng%2008.2019\T08-2019%20SAN%20XUA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INH%20THOA\CH&#7844;M%20C&#212;NG\2019\Th&#225;ng%2006.2019\T05-2019%20SAN%20XUAT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INH%20THOA\CH&#7844;M%20C&#212;NG\2019\Th&#225;ng%2007.2019\T07-2019%20NHA%20M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Thang bảng lương"/>
      <sheetName val="Diễn giải"/>
      <sheetName val="the luong"/>
      <sheetName val="Bang luong"/>
      <sheetName val="he so"/>
      <sheetName val="thang luong moi"/>
      <sheetName val="Bang luong (chaun)"/>
      <sheetName val="ung luong"/>
      <sheetName val="So sánh - nhan xet"/>
      <sheetName val="chuyên cần"/>
      <sheetName val="nhap cc"/>
      <sheetName val="BLuong"/>
      <sheetName val="TG - Phep nam"/>
      <sheetName val="CC"/>
      <sheetName val="BANG LUONG 1"/>
      <sheetName val="đơn giá"/>
      <sheetName val="Công tổng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boc xe"/>
      <sheetName val="chia CN boc xe"/>
      <sheetName val="SX"/>
      <sheetName val="chia CN SX"/>
      <sheetName val="XLBH"/>
      <sheetName val="chia CN XLB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C1" t="str">
            <v>SỐ THÁNG</v>
          </cell>
          <cell r="D1" t="str">
            <v>HỆ SỐ</v>
          </cell>
        </row>
        <row r="2">
          <cell r="C2">
            <v>0</v>
          </cell>
          <cell r="D2">
            <v>0</v>
          </cell>
        </row>
        <row r="3">
          <cell r="C3">
            <v>1</v>
          </cell>
          <cell r="D3">
            <v>0</v>
          </cell>
        </row>
        <row r="4">
          <cell r="C4">
            <v>2</v>
          </cell>
          <cell r="D4">
            <v>0</v>
          </cell>
        </row>
        <row r="5">
          <cell r="C5">
            <v>3</v>
          </cell>
          <cell r="D5">
            <v>0</v>
          </cell>
        </row>
        <row r="6">
          <cell r="C6">
            <v>4</v>
          </cell>
          <cell r="D6">
            <v>0</v>
          </cell>
        </row>
        <row r="7">
          <cell r="C7">
            <v>5</v>
          </cell>
          <cell r="D7">
            <v>0</v>
          </cell>
        </row>
        <row r="8">
          <cell r="C8">
            <v>6</v>
          </cell>
          <cell r="D8">
            <v>0</v>
          </cell>
        </row>
        <row r="9">
          <cell r="C9">
            <v>7</v>
          </cell>
          <cell r="D9">
            <v>0</v>
          </cell>
        </row>
        <row r="10">
          <cell r="C10">
            <v>8</v>
          </cell>
          <cell r="D10">
            <v>0</v>
          </cell>
        </row>
        <row r="11">
          <cell r="C11">
            <v>9</v>
          </cell>
          <cell r="D11">
            <v>0</v>
          </cell>
        </row>
        <row r="12">
          <cell r="C12">
            <v>10</v>
          </cell>
          <cell r="D12">
            <v>0</v>
          </cell>
        </row>
        <row r="13">
          <cell r="C13">
            <v>11</v>
          </cell>
          <cell r="D13">
            <v>0</v>
          </cell>
        </row>
        <row r="14">
          <cell r="C14">
            <v>12</v>
          </cell>
          <cell r="D14">
            <v>0</v>
          </cell>
        </row>
        <row r="15">
          <cell r="C15">
            <v>13</v>
          </cell>
          <cell r="D15">
            <v>0</v>
          </cell>
        </row>
        <row r="16">
          <cell r="C16">
            <v>14</v>
          </cell>
          <cell r="D16">
            <v>0</v>
          </cell>
        </row>
        <row r="17">
          <cell r="C17">
            <v>15</v>
          </cell>
          <cell r="D17">
            <v>0</v>
          </cell>
        </row>
        <row r="18">
          <cell r="C18">
            <v>16</v>
          </cell>
          <cell r="D18">
            <v>0</v>
          </cell>
        </row>
        <row r="19">
          <cell r="C19">
            <v>17</v>
          </cell>
          <cell r="D19">
            <v>0</v>
          </cell>
        </row>
        <row r="20">
          <cell r="C20">
            <v>18</v>
          </cell>
          <cell r="D20">
            <v>0</v>
          </cell>
        </row>
        <row r="21">
          <cell r="C21">
            <v>19</v>
          </cell>
          <cell r="D21">
            <v>0</v>
          </cell>
        </row>
        <row r="22">
          <cell r="C22">
            <v>20</v>
          </cell>
          <cell r="D22">
            <v>0</v>
          </cell>
        </row>
        <row r="23">
          <cell r="C23">
            <v>21</v>
          </cell>
          <cell r="D23">
            <v>0</v>
          </cell>
        </row>
        <row r="24">
          <cell r="C24">
            <v>22</v>
          </cell>
          <cell r="D24">
            <v>0</v>
          </cell>
        </row>
        <row r="25">
          <cell r="C25">
            <v>23</v>
          </cell>
          <cell r="D25">
            <v>0</v>
          </cell>
        </row>
        <row r="26">
          <cell r="C26">
            <v>24</v>
          </cell>
          <cell r="D26">
            <v>0</v>
          </cell>
        </row>
        <row r="27">
          <cell r="C27">
            <v>25</v>
          </cell>
          <cell r="D27">
            <v>0</v>
          </cell>
        </row>
        <row r="28">
          <cell r="C28">
            <v>26</v>
          </cell>
          <cell r="D28">
            <v>0</v>
          </cell>
        </row>
        <row r="29">
          <cell r="C29">
            <v>27</v>
          </cell>
          <cell r="D29">
            <v>0</v>
          </cell>
        </row>
        <row r="30">
          <cell r="C30">
            <v>28</v>
          </cell>
          <cell r="D30">
            <v>0</v>
          </cell>
        </row>
        <row r="31">
          <cell r="C31">
            <v>29</v>
          </cell>
          <cell r="D31">
            <v>0</v>
          </cell>
        </row>
        <row r="32">
          <cell r="C32">
            <v>30</v>
          </cell>
          <cell r="D32">
            <v>0</v>
          </cell>
        </row>
        <row r="33">
          <cell r="C33">
            <v>31</v>
          </cell>
          <cell r="D33">
            <v>0</v>
          </cell>
        </row>
        <row r="34">
          <cell r="C34">
            <v>32</v>
          </cell>
          <cell r="D34">
            <v>0</v>
          </cell>
        </row>
        <row r="35">
          <cell r="C35">
            <v>33</v>
          </cell>
          <cell r="D35">
            <v>0</v>
          </cell>
        </row>
        <row r="36">
          <cell r="C36">
            <v>34</v>
          </cell>
          <cell r="D36">
            <v>0</v>
          </cell>
        </row>
        <row r="37">
          <cell r="C37">
            <v>35</v>
          </cell>
          <cell r="D37">
            <v>0</v>
          </cell>
        </row>
        <row r="38">
          <cell r="C38">
            <v>36</v>
          </cell>
          <cell r="D38">
            <v>0</v>
          </cell>
        </row>
        <row r="39">
          <cell r="C39">
            <v>37</v>
          </cell>
          <cell r="D39">
            <v>0.03</v>
          </cell>
        </row>
        <row r="40">
          <cell r="C40">
            <v>38</v>
          </cell>
          <cell r="D40">
            <v>0.03</v>
          </cell>
        </row>
        <row r="41">
          <cell r="C41">
            <v>39</v>
          </cell>
          <cell r="D41">
            <v>0.03</v>
          </cell>
        </row>
        <row r="42">
          <cell r="C42">
            <v>40</v>
          </cell>
          <cell r="D42">
            <v>0.03</v>
          </cell>
        </row>
        <row r="43">
          <cell r="C43">
            <v>41</v>
          </cell>
          <cell r="D43">
            <v>0.03</v>
          </cell>
        </row>
        <row r="44">
          <cell r="C44">
            <v>42</v>
          </cell>
          <cell r="D44">
            <v>0.03</v>
          </cell>
        </row>
        <row r="45">
          <cell r="C45">
            <v>43</v>
          </cell>
          <cell r="D45">
            <v>0.03</v>
          </cell>
        </row>
        <row r="46">
          <cell r="C46">
            <v>44</v>
          </cell>
          <cell r="D46">
            <v>0.03</v>
          </cell>
        </row>
        <row r="47">
          <cell r="C47">
            <v>45</v>
          </cell>
          <cell r="D47">
            <v>0.03</v>
          </cell>
        </row>
        <row r="48">
          <cell r="C48">
            <v>46</v>
          </cell>
          <cell r="D48">
            <v>0.03</v>
          </cell>
        </row>
        <row r="49">
          <cell r="C49">
            <v>47</v>
          </cell>
          <cell r="D49">
            <v>0.03</v>
          </cell>
        </row>
        <row r="50">
          <cell r="C50">
            <v>48</v>
          </cell>
          <cell r="D50">
            <v>0.03</v>
          </cell>
        </row>
        <row r="51">
          <cell r="C51">
            <v>49</v>
          </cell>
          <cell r="D51">
            <v>0.04</v>
          </cell>
        </row>
        <row r="52">
          <cell r="C52">
            <v>50</v>
          </cell>
          <cell r="D52">
            <v>0.04</v>
          </cell>
        </row>
        <row r="53">
          <cell r="C53">
            <v>51</v>
          </cell>
          <cell r="D53">
            <v>0.04</v>
          </cell>
        </row>
        <row r="54">
          <cell r="C54">
            <v>52</v>
          </cell>
          <cell r="D54">
            <v>0.04</v>
          </cell>
        </row>
        <row r="55">
          <cell r="C55">
            <v>53</v>
          </cell>
          <cell r="D55">
            <v>0.04</v>
          </cell>
        </row>
        <row r="56">
          <cell r="C56">
            <v>54</v>
          </cell>
          <cell r="D56">
            <v>0.04</v>
          </cell>
        </row>
        <row r="57">
          <cell r="C57">
            <v>55</v>
          </cell>
          <cell r="D57">
            <v>0.04</v>
          </cell>
        </row>
        <row r="58">
          <cell r="C58">
            <v>56</v>
          </cell>
          <cell r="D58">
            <v>0.04</v>
          </cell>
        </row>
        <row r="59">
          <cell r="C59">
            <v>57</v>
          </cell>
          <cell r="D59">
            <v>0.04</v>
          </cell>
        </row>
        <row r="60">
          <cell r="C60">
            <v>58</v>
          </cell>
          <cell r="D60">
            <v>0.04</v>
          </cell>
        </row>
        <row r="61">
          <cell r="C61">
            <v>59</v>
          </cell>
          <cell r="D61">
            <v>0.04</v>
          </cell>
        </row>
        <row r="62">
          <cell r="C62">
            <v>60</v>
          </cell>
          <cell r="D62">
            <v>0.04</v>
          </cell>
        </row>
        <row r="63">
          <cell r="C63">
            <v>61</v>
          </cell>
          <cell r="D63">
            <v>0.05</v>
          </cell>
        </row>
        <row r="64">
          <cell r="C64">
            <v>62</v>
          </cell>
          <cell r="D64">
            <v>0.05</v>
          </cell>
        </row>
        <row r="65">
          <cell r="C65">
            <v>63</v>
          </cell>
          <cell r="D65">
            <v>0.05</v>
          </cell>
        </row>
        <row r="66">
          <cell r="C66">
            <v>64</v>
          </cell>
          <cell r="D66">
            <v>0.05</v>
          </cell>
        </row>
        <row r="67">
          <cell r="C67">
            <v>65</v>
          </cell>
          <cell r="D67">
            <v>0.05</v>
          </cell>
        </row>
        <row r="68">
          <cell r="C68">
            <v>66</v>
          </cell>
          <cell r="D68">
            <v>0.05</v>
          </cell>
        </row>
        <row r="69">
          <cell r="C69">
            <v>67</v>
          </cell>
          <cell r="D69">
            <v>0.05</v>
          </cell>
        </row>
        <row r="70">
          <cell r="C70">
            <v>68</v>
          </cell>
          <cell r="D70">
            <v>0.05</v>
          </cell>
        </row>
        <row r="71">
          <cell r="C71">
            <v>69</v>
          </cell>
          <cell r="D71">
            <v>0.05</v>
          </cell>
        </row>
        <row r="72">
          <cell r="C72">
            <v>70</v>
          </cell>
          <cell r="D72">
            <v>0.05</v>
          </cell>
        </row>
        <row r="73">
          <cell r="C73">
            <v>71</v>
          </cell>
          <cell r="D73">
            <v>0.05</v>
          </cell>
        </row>
        <row r="74">
          <cell r="C74">
            <v>72</v>
          </cell>
          <cell r="D74">
            <v>0.05</v>
          </cell>
        </row>
        <row r="75">
          <cell r="C75">
            <v>73</v>
          </cell>
          <cell r="D75">
            <v>6.0000000000000005E-2</v>
          </cell>
        </row>
        <row r="76">
          <cell r="C76">
            <v>74</v>
          </cell>
          <cell r="D76">
            <v>6.0000000000000005E-2</v>
          </cell>
        </row>
        <row r="77">
          <cell r="C77">
            <v>75</v>
          </cell>
          <cell r="D77">
            <v>6.0000000000000005E-2</v>
          </cell>
        </row>
        <row r="78">
          <cell r="C78">
            <v>76</v>
          </cell>
          <cell r="D78">
            <v>6.0000000000000005E-2</v>
          </cell>
        </row>
        <row r="79">
          <cell r="C79">
            <v>77</v>
          </cell>
          <cell r="D79">
            <v>6.0000000000000005E-2</v>
          </cell>
        </row>
        <row r="80">
          <cell r="C80">
            <v>78</v>
          </cell>
          <cell r="D80">
            <v>6.0000000000000005E-2</v>
          </cell>
        </row>
        <row r="81">
          <cell r="C81">
            <v>79</v>
          </cell>
          <cell r="D81">
            <v>6.0000000000000005E-2</v>
          </cell>
        </row>
        <row r="82">
          <cell r="C82">
            <v>80</v>
          </cell>
          <cell r="D82">
            <v>6.0000000000000005E-2</v>
          </cell>
        </row>
        <row r="83">
          <cell r="C83">
            <v>81</v>
          </cell>
          <cell r="D83">
            <v>6.0000000000000005E-2</v>
          </cell>
        </row>
        <row r="84">
          <cell r="C84">
            <v>82</v>
          </cell>
          <cell r="D84">
            <v>6.0000000000000005E-2</v>
          </cell>
        </row>
        <row r="85">
          <cell r="C85">
            <v>83</v>
          </cell>
          <cell r="D85">
            <v>6.0000000000000005E-2</v>
          </cell>
        </row>
        <row r="86">
          <cell r="C86">
            <v>84</v>
          </cell>
          <cell r="D86">
            <v>6.0000000000000005E-2</v>
          </cell>
        </row>
        <row r="87">
          <cell r="C87">
            <v>85</v>
          </cell>
          <cell r="D87">
            <v>7.0000000000000007E-2</v>
          </cell>
        </row>
        <row r="88">
          <cell r="C88">
            <v>86</v>
          </cell>
          <cell r="D88">
            <v>7.0000000000000007E-2</v>
          </cell>
        </row>
        <row r="89">
          <cell r="C89">
            <v>87</v>
          </cell>
          <cell r="D89">
            <v>7.0000000000000007E-2</v>
          </cell>
        </row>
        <row r="90">
          <cell r="C90">
            <v>88</v>
          </cell>
          <cell r="D90">
            <v>7.0000000000000007E-2</v>
          </cell>
        </row>
        <row r="91">
          <cell r="C91">
            <v>89</v>
          </cell>
          <cell r="D91">
            <v>7.0000000000000007E-2</v>
          </cell>
        </row>
        <row r="92">
          <cell r="C92">
            <v>90</v>
          </cell>
          <cell r="D92">
            <v>7.0000000000000007E-2</v>
          </cell>
        </row>
        <row r="93">
          <cell r="C93">
            <v>91</v>
          </cell>
          <cell r="D93">
            <v>7.0000000000000007E-2</v>
          </cell>
        </row>
        <row r="94">
          <cell r="C94">
            <v>92</v>
          </cell>
          <cell r="D94">
            <v>7.0000000000000007E-2</v>
          </cell>
        </row>
        <row r="95">
          <cell r="C95">
            <v>93</v>
          </cell>
          <cell r="D95">
            <v>7.0000000000000007E-2</v>
          </cell>
        </row>
        <row r="96">
          <cell r="C96">
            <v>94</v>
          </cell>
          <cell r="D96">
            <v>7.0000000000000007E-2</v>
          </cell>
        </row>
        <row r="97">
          <cell r="C97">
            <v>95</v>
          </cell>
          <cell r="D97">
            <v>7.0000000000000007E-2</v>
          </cell>
        </row>
        <row r="98">
          <cell r="C98">
            <v>96</v>
          </cell>
          <cell r="D98">
            <v>7.0000000000000007E-2</v>
          </cell>
        </row>
        <row r="99">
          <cell r="C99">
            <v>97</v>
          </cell>
          <cell r="D99">
            <v>0.08</v>
          </cell>
        </row>
        <row r="100">
          <cell r="C100">
            <v>98</v>
          </cell>
          <cell r="D100">
            <v>0.08</v>
          </cell>
        </row>
        <row r="101">
          <cell r="C101">
            <v>99</v>
          </cell>
          <cell r="D101">
            <v>0.08</v>
          </cell>
        </row>
        <row r="102">
          <cell r="C102">
            <v>100</v>
          </cell>
          <cell r="D102">
            <v>0.08</v>
          </cell>
        </row>
        <row r="103">
          <cell r="C103">
            <v>101</v>
          </cell>
          <cell r="D103">
            <v>0.08</v>
          </cell>
        </row>
        <row r="104">
          <cell r="C104">
            <v>102</v>
          </cell>
          <cell r="D104">
            <v>0.08</v>
          </cell>
        </row>
        <row r="105">
          <cell r="C105">
            <v>103</v>
          </cell>
          <cell r="D105">
            <v>0.08</v>
          </cell>
        </row>
        <row r="106">
          <cell r="C106">
            <v>104</v>
          </cell>
          <cell r="D106">
            <v>0.08</v>
          </cell>
        </row>
        <row r="107">
          <cell r="C107">
            <v>105</v>
          </cell>
          <cell r="D107">
            <v>0.08</v>
          </cell>
        </row>
        <row r="108">
          <cell r="C108">
            <v>106</v>
          </cell>
          <cell r="D108">
            <v>0.08</v>
          </cell>
        </row>
        <row r="109">
          <cell r="C109">
            <v>107</v>
          </cell>
          <cell r="D109">
            <v>0.08</v>
          </cell>
        </row>
        <row r="110">
          <cell r="C110">
            <v>108</v>
          </cell>
          <cell r="D110">
            <v>0.08</v>
          </cell>
        </row>
        <row r="111">
          <cell r="C111">
            <v>109</v>
          </cell>
          <cell r="D111">
            <v>0.09</v>
          </cell>
        </row>
        <row r="112">
          <cell r="C112">
            <v>110</v>
          </cell>
          <cell r="D112">
            <v>0.09</v>
          </cell>
        </row>
        <row r="113">
          <cell r="C113">
            <v>111</v>
          </cell>
          <cell r="D113">
            <v>0.09</v>
          </cell>
        </row>
        <row r="114">
          <cell r="C114">
            <v>112</v>
          </cell>
          <cell r="D114">
            <v>0.09</v>
          </cell>
        </row>
        <row r="115">
          <cell r="C115">
            <v>113</v>
          </cell>
          <cell r="D115">
            <v>0.09</v>
          </cell>
        </row>
        <row r="116">
          <cell r="C116">
            <v>114</v>
          </cell>
          <cell r="D116">
            <v>0.09</v>
          </cell>
        </row>
        <row r="117">
          <cell r="C117">
            <v>115</v>
          </cell>
          <cell r="D117">
            <v>0.09</v>
          </cell>
        </row>
        <row r="118">
          <cell r="C118">
            <v>116</v>
          </cell>
          <cell r="D118">
            <v>0.09</v>
          </cell>
        </row>
        <row r="119">
          <cell r="C119">
            <v>117</v>
          </cell>
          <cell r="D119">
            <v>0.09</v>
          </cell>
        </row>
        <row r="120">
          <cell r="C120">
            <v>118</v>
          </cell>
          <cell r="D120">
            <v>0.09</v>
          </cell>
        </row>
        <row r="121">
          <cell r="C121">
            <v>119</v>
          </cell>
          <cell r="D121">
            <v>0.09</v>
          </cell>
        </row>
        <row r="122">
          <cell r="C122">
            <v>120</v>
          </cell>
          <cell r="D122">
            <v>0.09</v>
          </cell>
        </row>
        <row r="123">
          <cell r="C123">
            <v>121</v>
          </cell>
          <cell r="D123">
            <v>9.9999999999999992E-2</v>
          </cell>
        </row>
        <row r="124">
          <cell r="C124">
            <v>122</v>
          </cell>
          <cell r="D124">
            <v>9.9999999999999992E-2</v>
          </cell>
        </row>
        <row r="125">
          <cell r="C125">
            <v>123</v>
          </cell>
          <cell r="D125">
            <v>9.9999999999999992E-2</v>
          </cell>
        </row>
        <row r="126">
          <cell r="C126">
            <v>124</v>
          </cell>
          <cell r="D126">
            <v>9.9999999999999992E-2</v>
          </cell>
        </row>
        <row r="127">
          <cell r="C127">
            <v>125</v>
          </cell>
          <cell r="D127">
            <v>9.9999999999999992E-2</v>
          </cell>
        </row>
        <row r="128">
          <cell r="C128">
            <v>126</v>
          </cell>
          <cell r="D128">
            <v>9.9999999999999992E-2</v>
          </cell>
        </row>
        <row r="129">
          <cell r="C129">
            <v>127</v>
          </cell>
          <cell r="D129">
            <v>9.9999999999999992E-2</v>
          </cell>
        </row>
        <row r="130">
          <cell r="C130">
            <v>128</v>
          </cell>
          <cell r="D130">
            <v>9.9999999999999992E-2</v>
          </cell>
        </row>
        <row r="131">
          <cell r="C131">
            <v>129</v>
          </cell>
          <cell r="D131">
            <v>9.9999999999999992E-2</v>
          </cell>
        </row>
        <row r="132">
          <cell r="C132">
            <v>130</v>
          </cell>
          <cell r="D132">
            <v>9.9999999999999992E-2</v>
          </cell>
        </row>
        <row r="133">
          <cell r="C133">
            <v>131</v>
          </cell>
          <cell r="D133">
            <v>9.9999999999999992E-2</v>
          </cell>
        </row>
        <row r="134">
          <cell r="C134">
            <v>132</v>
          </cell>
          <cell r="D134">
            <v>9.9999999999999992E-2</v>
          </cell>
        </row>
        <row r="135">
          <cell r="C135">
            <v>133</v>
          </cell>
          <cell r="D135">
            <v>0.10999999999999999</v>
          </cell>
        </row>
        <row r="136">
          <cell r="C136">
            <v>134</v>
          </cell>
          <cell r="D136">
            <v>0.10999999999999999</v>
          </cell>
        </row>
        <row r="137">
          <cell r="C137">
            <v>135</v>
          </cell>
          <cell r="D137">
            <v>0.10999999999999999</v>
          </cell>
        </row>
        <row r="138">
          <cell r="C138">
            <v>136</v>
          </cell>
          <cell r="D138">
            <v>0.10999999999999999</v>
          </cell>
        </row>
        <row r="139">
          <cell r="C139">
            <v>137</v>
          </cell>
          <cell r="D139">
            <v>0.10999999999999999</v>
          </cell>
        </row>
        <row r="140">
          <cell r="C140">
            <v>138</v>
          </cell>
          <cell r="D140">
            <v>0.10999999999999999</v>
          </cell>
        </row>
        <row r="141">
          <cell r="C141">
            <v>139</v>
          </cell>
          <cell r="D141">
            <v>0.10999999999999999</v>
          </cell>
        </row>
        <row r="142">
          <cell r="C142">
            <v>140</v>
          </cell>
          <cell r="D142">
            <v>0.10999999999999999</v>
          </cell>
        </row>
        <row r="143">
          <cell r="C143">
            <v>141</v>
          </cell>
          <cell r="D143">
            <v>0.10999999999999999</v>
          </cell>
        </row>
        <row r="144">
          <cell r="C144">
            <v>142</v>
          </cell>
          <cell r="D144">
            <v>0.10999999999999999</v>
          </cell>
        </row>
        <row r="145">
          <cell r="C145">
            <v>143</v>
          </cell>
          <cell r="D145">
            <v>0.10999999999999999</v>
          </cell>
        </row>
        <row r="146">
          <cell r="C146">
            <v>144</v>
          </cell>
          <cell r="D146">
            <v>0.10999999999999999</v>
          </cell>
        </row>
        <row r="147">
          <cell r="C147">
            <v>145</v>
          </cell>
          <cell r="D147">
            <v>0.11999999999999998</v>
          </cell>
        </row>
        <row r="148">
          <cell r="C148">
            <v>146</v>
          </cell>
          <cell r="D148">
            <v>0.11999999999999998</v>
          </cell>
        </row>
        <row r="149">
          <cell r="C149">
            <v>147</v>
          </cell>
          <cell r="D149">
            <v>0.11999999999999998</v>
          </cell>
        </row>
        <row r="150">
          <cell r="C150">
            <v>148</v>
          </cell>
          <cell r="D150">
            <v>0.11999999999999998</v>
          </cell>
        </row>
        <row r="151">
          <cell r="C151">
            <v>149</v>
          </cell>
          <cell r="D151">
            <v>0.11999999999999998</v>
          </cell>
        </row>
        <row r="152">
          <cell r="C152">
            <v>150</v>
          </cell>
          <cell r="D152">
            <v>0.11999999999999998</v>
          </cell>
        </row>
        <row r="153">
          <cell r="C153">
            <v>151</v>
          </cell>
          <cell r="D153">
            <v>0.11999999999999998</v>
          </cell>
        </row>
        <row r="154">
          <cell r="C154">
            <v>152</v>
          </cell>
          <cell r="D154">
            <v>0.11999999999999998</v>
          </cell>
        </row>
        <row r="155">
          <cell r="C155">
            <v>153</v>
          </cell>
          <cell r="D155">
            <v>0.11999999999999998</v>
          </cell>
        </row>
        <row r="156">
          <cell r="C156">
            <v>154</v>
          </cell>
          <cell r="D156">
            <v>0.11999999999999998</v>
          </cell>
        </row>
        <row r="157">
          <cell r="C157">
            <v>155</v>
          </cell>
          <cell r="D157">
            <v>0.11999999999999998</v>
          </cell>
        </row>
        <row r="158">
          <cell r="C158">
            <v>156</v>
          </cell>
          <cell r="D158">
            <v>0.11999999999999998</v>
          </cell>
        </row>
        <row r="159">
          <cell r="C159">
            <v>157</v>
          </cell>
          <cell r="D159">
            <v>0.12999999999999998</v>
          </cell>
        </row>
        <row r="160">
          <cell r="C160">
            <v>158</v>
          </cell>
          <cell r="D160">
            <v>0.12999999999999998</v>
          </cell>
        </row>
        <row r="161">
          <cell r="C161">
            <v>159</v>
          </cell>
          <cell r="D161">
            <v>0.12999999999999998</v>
          </cell>
        </row>
        <row r="162">
          <cell r="C162">
            <v>160</v>
          </cell>
          <cell r="D162">
            <v>0.12999999999999998</v>
          </cell>
        </row>
        <row r="163">
          <cell r="C163">
            <v>161</v>
          </cell>
          <cell r="D163">
            <v>0.12999999999999998</v>
          </cell>
        </row>
        <row r="164">
          <cell r="C164">
            <v>162</v>
          </cell>
          <cell r="D164">
            <v>0.12999999999999998</v>
          </cell>
        </row>
        <row r="165">
          <cell r="C165">
            <v>163</v>
          </cell>
          <cell r="D165">
            <v>0.12999999999999998</v>
          </cell>
        </row>
        <row r="166">
          <cell r="C166">
            <v>164</v>
          </cell>
          <cell r="D166">
            <v>0.12999999999999998</v>
          </cell>
        </row>
        <row r="167">
          <cell r="C167">
            <v>165</v>
          </cell>
          <cell r="D167">
            <v>0.12999999999999998</v>
          </cell>
        </row>
        <row r="168">
          <cell r="C168">
            <v>166</v>
          </cell>
          <cell r="D168">
            <v>0.12999999999999998</v>
          </cell>
        </row>
        <row r="169">
          <cell r="C169">
            <v>167</v>
          </cell>
          <cell r="D169">
            <v>0.12999999999999998</v>
          </cell>
        </row>
        <row r="170">
          <cell r="C170">
            <v>168</v>
          </cell>
          <cell r="D170">
            <v>0.12999999999999998</v>
          </cell>
        </row>
        <row r="171">
          <cell r="C171">
            <v>169</v>
          </cell>
          <cell r="D171">
            <v>0.13999999999999999</v>
          </cell>
        </row>
        <row r="172">
          <cell r="C172">
            <v>170</v>
          </cell>
          <cell r="D172">
            <v>0.13999999999999999</v>
          </cell>
        </row>
        <row r="173">
          <cell r="C173">
            <v>171</v>
          </cell>
          <cell r="D173">
            <v>0.13999999999999999</v>
          </cell>
        </row>
        <row r="174">
          <cell r="C174">
            <v>172</v>
          </cell>
          <cell r="D174">
            <v>0.13999999999999999</v>
          </cell>
        </row>
        <row r="175">
          <cell r="C175">
            <v>173</v>
          </cell>
          <cell r="D175">
            <v>0.13999999999999999</v>
          </cell>
        </row>
        <row r="176">
          <cell r="C176">
            <v>174</v>
          </cell>
          <cell r="D176">
            <v>0.13999999999999999</v>
          </cell>
        </row>
        <row r="177">
          <cell r="C177">
            <v>175</v>
          </cell>
          <cell r="D177">
            <v>0.13999999999999999</v>
          </cell>
        </row>
        <row r="178">
          <cell r="C178">
            <v>176</v>
          </cell>
          <cell r="D178">
            <v>0.13999999999999999</v>
          </cell>
        </row>
        <row r="179">
          <cell r="C179">
            <v>177</v>
          </cell>
          <cell r="D179">
            <v>0.13999999999999999</v>
          </cell>
        </row>
        <row r="180">
          <cell r="C180">
            <v>178</v>
          </cell>
          <cell r="D180">
            <v>0.13999999999999999</v>
          </cell>
        </row>
        <row r="181">
          <cell r="C181">
            <v>179</v>
          </cell>
          <cell r="D181">
            <v>0.13999999999999999</v>
          </cell>
        </row>
        <row r="182">
          <cell r="C182">
            <v>180</v>
          </cell>
          <cell r="D182">
            <v>0.13999999999999999</v>
          </cell>
        </row>
        <row r="183">
          <cell r="C183">
            <v>181</v>
          </cell>
          <cell r="D183">
            <v>0.15</v>
          </cell>
        </row>
        <row r="184">
          <cell r="C184">
            <v>182</v>
          </cell>
          <cell r="D184">
            <v>0.15</v>
          </cell>
        </row>
        <row r="185">
          <cell r="C185">
            <v>183</v>
          </cell>
          <cell r="D185">
            <v>0.15</v>
          </cell>
        </row>
        <row r="186">
          <cell r="C186">
            <v>184</v>
          </cell>
          <cell r="D186">
            <v>0.15</v>
          </cell>
        </row>
        <row r="187">
          <cell r="C187">
            <v>185</v>
          </cell>
          <cell r="D187">
            <v>0.15</v>
          </cell>
        </row>
        <row r="188">
          <cell r="C188">
            <v>186</v>
          </cell>
          <cell r="D188">
            <v>0.15</v>
          </cell>
        </row>
        <row r="189">
          <cell r="C189">
            <v>187</v>
          </cell>
          <cell r="D189">
            <v>0.15</v>
          </cell>
        </row>
        <row r="190">
          <cell r="C190">
            <v>188</v>
          </cell>
          <cell r="D190">
            <v>0.15</v>
          </cell>
        </row>
        <row r="191">
          <cell r="C191">
            <v>189</v>
          </cell>
          <cell r="D191">
            <v>0.15</v>
          </cell>
        </row>
        <row r="192">
          <cell r="C192">
            <v>190</v>
          </cell>
          <cell r="D192">
            <v>0.15</v>
          </cell>
        </row>
        <row r="193">
          <cell r="C193">
            <v>191</v>
          </cell>
          <cell r="D193">
            <v>0.15</v>
          </cell>
        </row>
        <row r="194">
          <cell r="C194">
            <v>192</v>
          </cell>
          <cell r="D194">
            <v>0.15</v>
          </cell>
        </row>
        <row r="195">
          <cell r="C195">
            <v>193</v>
          </cell>
          <cell r="D195">
            <v>0.16</v>
          </cell>
        </row>
        <row r="196">
          <cell r="C196">
            <v>194</v>
          </cell>
          <cell r="D196">
            <v>0.16</v>
          </cell>
        </row>
        <row r="197">
          <cell r="C197">
            <v>195</v>
          </cell>
          <cell r="D197">
            <v>0.16</v>
          </cell>
        </row>
        <row r="198">
          <cell r="C198">
            <v>196</v>
          </cell>
          <cell r="D198">
            <v>0.16</v>
          </cell>
        </row>
        <row r="199">
          <cell r="C199">
            <v>197</v>
          </cell>
          <cell r="D199">
            <v>0.16</v>
          </cell>
        </row>
        <row r="200">
          <cell r="C200">
            <v>198</v>
          </cell>
          <cell r="D200">
            <v>0.16</v>
          </cell>
        </row>
        <row r="201">
          <cell r="C201">
            <v>199</v>
          </cell>
          <cell r="D201">
            <v>0.16</v>
          </cell>
        </row>
        <row r="202">
          <cell r="C202">
            <v>200</v>
          </cell>
          <cell r="D202">
            <v>0.16</v>
          </cell>
        </row>
        <row r="203">
          <cell r="C203">
            <v>201</v>
          </cell>
          <cell r="D203">
            <v>0.16</v>
          </cell>
        </row>
        <row r="204">
          <cell r="C204">
            <v>202</v>
          </cell>
          <cell r="D204">
            <v>0.16</v>
          </cell>
        </row>
        <row r="205">
          <cell r="C205">
            <v>203</v>
          </cell>
          <cell r="D205">
            <v>0.16</v>
          </cell>
        </row>
        <row r="206">
          <cell r="C206">
            <v>204</v>
          </cell>
          <cell r="D206">
            <v>0.16</v>
          </cell>
        </row>
        <row r="207">
          <cell r="C207">
            <v>205</v>
          </cell>
          <cell r="D207">
            <v>0.17</v>
          </cell>
        </row>
        <row r="208">
          <cell r="C208">
            <v>206</v>
          </cell>
          <cell r="D208">
            <v>0.17</v>
          </cell>
        </row>
        <row r="209">
          <cell r="C209">
            <v>207</v>
          </cell>
          <cell r="D209">
            <v>0.17</v>
          </cell>
        </row>
        <row r="210">
          <cell r="C210">
            <v>208</v>
          </cell>
          <cell r="D210">
            <v>0.17</v>
          </cell>
        </row>
        <row r="211">
          <cell r="C211">
            <v>209</v>
          </cell>
          <cell r="D211">
            <v>0.17</v>
          </cell>
        </row>
        <row r="212">
          <cell r="C212">
            <v>210</v>
          </cell>
          <cell r="D212">
            <v>0.17</v>
          </cell>
        </row>
        <row r="213">
          <cell r="C213">
            <v>211</v>
          </cell>
          <cell r="D213">
            <v>0.17</v>
          </cell>
        </row>
        <row r="214">
          <cell r="C214">
            <v>212</v>
          </cell>
          <cell r="D214">
            <v>0.17</v>
          </cell>
        </row>
        <row r="215">
          <cell r="C215">
            <v>213</v>
          </cell>
          <cell r="D215">
            <v>0.17</v>
          </cell>
        </row>
        <row r="216">
          <cell r="C216">
            <v>214</v>
          </cell>
          <cell r="D216">
            <v>0.17</v>
          </cell>
        </row>
        <row r="217">
          <cell r="C217">
            <v>215</v>
          </cell>
          <cell r="D217">
            <v>0.17</v>
          </cell>
        </row>
        <row r="218">
          <cell r="C218">
            <v>216</v>
          </cell>
          <cell r="D218">
            <v>0.17</v>
          </cell>
        </row>
        <row r="219">
          <cell r="C219">
            <v>217</v>
          </cell>
          <cell r="D219">
            <v>0.18</v>
          </cell>
        </row>
        <row r="220">
          <cell r="C220">
            <v>218</v>
          </cell>
          <cell r="D220">
            <v>0.18</v>
          </cell>
        </row>
        <row r="221">
          <cell r="C221">
            <v>219</v>
          </cell>
          <cell r="D221">
            <v>0.18</v>
          </cell>
        </row>
        <row r="222">
          <cell r="C222">
            <v>220</v>
          </cell>
          <cell r="D222">
            <v>0.18</v>
          </cell>
        </row>
        <row r="223">
          <cell r="C223">
            <v>221</v>
          </cell>
          <cell r="D223">
            <v>0.18</v>
          </cell>
        </row>
        <row r="224">
          <cell r="C224">
            <v>222</v>
          </cell>
          <cell r="D224">
            <v>0.18</v>
          </cell>
        </row>
        <row r="225">
          <cell r="C225">
            <v>223</v>
          </cell>
          <cell r="D225">
            <v>0.18</v>
          </cell>
        </row>
        <row r="226">
          <cell r="C226">
            <v>224</v>
          </cell>
          <cell r="D226">
            <v>0.18</v>
          </cell>
        </row>
        <row r="227">
          <cell r="C227">
            <v>225</v>
          </cell>
          <cell r="D227">
            <v>0.18</v>
          </cell>
        </row>
        <row r="228">
          <cell r="C228">
            <v>226</v>
          </cell>
          <cell r="D228">
            <v>0.18</v>
          </cell>
        </row>
        <row r="229">
          <cell r="C229">
            <v>227</v>
          </cell>
          <cell r="D229">
            <v>0.18</v>
          </cell>
        </row>
        <row r="230">
          <cell r="C230">
            <v>228</v>
          </cell>
          <cell r="D230">
            <v>0.18</v>
          </cell>
        </row>
        <row r="231">
          <cell r="C231">
            <v>229</v>
          </cell>
          <cell r="D231">
            <v>0.19</v>
          </cell>
        </row>
        <row r="232">
          <cell r="C232">
            <v>230</v>
          </cell>
          <cell r="D232">
            <v>0.19</v>
          </cell>
        </row>
        <row r="233">
          <cell r="C233">
            <v>231</v>
          </cell>
          <cell r="D233">
            <v>0.19</v>
          </cell>
        </row>
        <row r="234">
          <cell r="C234">
            <v>232</v>
          </cell>
          <cell r="D234">
            <v>0.19</v>
          </cell>
        </row>
        <row r="235">
          <cell r="C235">
            <v>233</v>
          </cell>
          <cell r="D235">
            <v>0.19</v>
          </cell>
        </row>
        <row r="236">
          <cell r="C236">
            <v>234</v>
          </cell>
          <cell r="D236">
            <v>0.19</v>
          </cell>
        </row>
        <row r="237">
          <cell r="C237">
            <v>235</v>
          </cell>
          <cell r="D237">
            <v>0.19</v>
          </cell>
        </row>
        <row r="238">
          <cell r="C238">
            <v>236</v>
          </cell>
          <cell r="D238">
            <v>0.19</v>
          </cell>
        </row>
        <row r="239">
          <cell r="C239">
            <v>237</v>
          </cell>
          <cell r="D239">
            <v>0.19</v>
          </cell>
        </row>
        <row r="240">
          <cell r="C240">
            <v>238</v>
          </cell>
          <cell r="D240">
            <v>0.19</v>
          </cell>
        </row>
        <row r="241">
          <cell r="C241">
            <v>239</v>
          </cell>
          <cell r="D241">
            <v>0.19</v>
          </cell>
        </row>
        <row r="242">
          <cell r="C242">
            <v>240</v>
          </cell>
          <cell r="D242">
            <v>0.19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8">
          <cell r="A8">
            <v>3</v>
          </cell>
          <cell r="C8" t="str">
            <v>Ngô Đình Chung</v>
          </cell>
          <cell r="D8" t="str">
            <v>TB ATLĐ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óng gói trong giờ"/>
      <sheetName val="Đóng gói ngoài giờ"/>
      <sheetName val="Bốc hàng trong giờ new"/>
      <sheetName val="Bốc hàng ngoài giờ new"/>
      <sheetName val="Tổng hợp trong giờ"/>
      <sheetName val="Tổng hợp ngoài giờ"/>
      <sheetName val=" Bang luong"/>
      <sheetName val="Thẻ lương"/>
      <sheetName val="CHẤM CÔNG TRONG THÁNG"/>
      <sheetName val="Mã NV"/>
      <sheetName val="ung luong"/>
      <sheetName val="Định mức"/>
      <sheetName val="thang luong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G35">
            <v>152000000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óng gói trong giờ"/>
      <sheetName val="Đóng gói ngoài giờ"/>
      <sheetName val="Bốc hàng trong giờ new"/>
      <sheetName val="Bốc hàng ngoài giờ new"/>
      <sheetName val="Tổng hợp trong giờ"/>
      <sheetName val="Tổng hợp ngoài giờ"/>
      <sheetName val=" Bang luong"/>
      <sheetName val="Thẻ lương"/>
      <sheetName val="CHẤM CÔNG TRONG THÁNG"/>
      <sheetName val="Mã NV"/>
      <sheetName val="ung luong"/>
      <sheetName val="Định mức"/>
      <sheetName val="thang luong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47">
          <cell r="AG47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Thang bảng lương"/>
      <sheetName val="Diễn giải"/>
      <sheetName val="Bang luong"/>
      <sheetName val="he so"/>
      <sheetName val="the luong"/>
      <sheetName val="thang luong moi"/>
      <sheetName val="Bang luong (chaun)"/>
      <sheetName val="ung luong"/>
      <sheetName val="So sánh - nhan xet"/>
      <sheetName val="chuyên cần"/>
      <sheetName val="nhap cc"/>
      <sheetName val="BLuong"/>
      <sheetName val="TG - Phep nam"/>
      <sheetName val="CC"/>
      <sheetName val="BANG LUONG 1"/>
      <sheetName val="đơn giá"/>
      <sheetName val="Công tổng"/>
      <sheetName val="26"/>
      <sheetName val="27"/>
      <sheetName val="28"/>
      <sheetName val="29"/>
      <sheetName val="30"/>
      <sheetName val="3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boc xe"/>
      <sheetName val="chia CN boc xe"/>
      <sheetName val="SX"/>
      <sheetName val="chia CN SX"/>
      <sheetName val="XLBH"/>
      <sheetName val="chia CN XLB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9">
          <cell r="I39">
            <v>35478.806907378334</v>
          </cell>
        </row>
        <row r="40">
          <cell r="I40">
            <v>34536.89167974882</v>
          </cell>
        </row>
        <row r="41">
          <cell r="I41">
            <v>34536.89167974882</v>
          </cell>
        </row>
        <row r="42">
          <cell r="I42">
            <v>31397.174254317109</v>
          </cell>
        </row>
        <row r="43">
          <cell r="I43">
            <v>31397.174254317109</v>
          </cell>
        </row>
        <row r="44">
          <cell r="I44">
            <v>36420.722135007854</v>
          </cell>
        </row>
        <row r="45">
          <cell r="I45">
            <v>37362.637362637361</v>
          </cell>
        </row>
        <row r="46">
          <cell r="I46">
            <v>36420.722135007854</v>
          </cell>
        </row>
        <row r="47">
          <cell r="I47">
            <v>36420.722135007854</v>
          </cell>
        </row>
        <row r="48">
          <cell r="I48">
            <v>33281.00470957614</v>
          </cell>
        </row>
        <row r="49">
          <cell r="I49">
            <v>33281.00470957614</v>
          </cell>
        </row>
        <row r="50">
          <cell r="I50">
            <v>39246.467817896388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81"/>
  <sheetViews>
    <sheetView workbookViewId="0">
      <selection activeCell="E1" sqref="E1"/>
    </sheetView>
  </sheetViews>
  <sheetFormatPr defaultRowHeight="14.4"/>
  <cols>
    <col min="2" max="2" width="4" customWidth="1"/>
    <col min="3" max="3" width="10.5546875" style="30" bestFit="1" customWidth="1"/>
    <col min="4" max="5" width="9.109375" style="30"/>
  </cols>
  <sheetData>
    <row r="1" spans="1:3">
      <c r="A1" s="13" t="s">
        <v>208</v>
      </c>
      <c r="B1">
        <v>1</v>
      </c>
      <c r="C1" s="30">
        <f>VLOOKUP(A1,'Thang bảng lương'!$B$7:$K$44,2,0)</f>
        <v>7490</v>
      </c>
    </row>
    <row r="2" spans="1:3">
      <c r="A2" s="13" t="s">
        <v>208</v>
      </c>
      <c r="B2">
        <v>2</v>
      </c>
      <c r="C2" s="30">
        <f>VLOOKUP(A2,'Thang bảng lương'!$B$7:$K$44,3,0)</f>
        <v>9362.5</v>
      </c>
    </row>
    <row r="3" spans="1:3">
      <c r="A3" s="13" t="s">
        <v>208</v>
      </c>
      <c r="B3">
        <v>3</v>
      </c>
      <c r="C3" s="30">
        <f>VLOOKUP(A3,'Thang bảng lương'!$B$7:$K$44,4,0)</f>
        <v>11235</v>
      </c>
    </row>
    <row r="4" spans="1:3">
      <c r="A4" s="13" t="s">
        <v>208</v>
      </c>
      <c r="B4">
        <v>4</v>
      </c>
      <c r="C4" s="30">
        <f>VLOOKUP(A4,'Thang bảng lương'!$B$7:$K$44,5,0)</f>
        <v>13107.5</v>
      </c>
    </row>
    <row r="5" spans="1:3">
      <c r="A5" s="13" t="s">
        <v>208</v>
      </c>
      <c r="B5">
        <v>5</v>
      </c>
      <c r="C5" s="30">
        <f>VLOOKUP(A5,'Thang bảng lương'!$B$7:$K$44,6,0)</f>
        <v>14980</v>
      </c>
    </row>
    <row r="6" spans="1:3">
      <c r="A6" s="13" t="s">
        <v>208</v>
      </c>
      <c r="B6">
        <v>6</v>
      </c>
      <c r="C6" s="30">
        <f>VLOOKUP(A6,'Thang bảng lương'!$B$7:$K$44,7,0)</f>
        <v>16852.5</v>
      </c>
    </row>
    <row r="7" spans="1:3">
      <c r="A7" s="13" t="s">
        <v>208</v>
      </c>
      <c r="B7">
        <v>7</v>
      </c>
      <c r="C7" s="30">
        <f>VLOOKUP(A7,'Thang bảng lương'!$B$7:$K$44,8,0)</f>
        <v>18725</v>
      </c>
    </row>
    <row r="8" spans="1:3">
      <c r="A8" s="13" t="s">
        <v>208</v>
      </c>
      <c r="B8">
        <v>8</v>
      </c>
      <c r="C8" s="30">
        <f>VLOOKUP(A8,'Thang bảng lương'!$B$7:$K$44,9,0)</f>
        <v>20597.5</v>
      </c>
    </row>
    <row r="9" spans="1:3">
      <c r="A9" s="13" t="s">
        <v>208</v>
      </c>
      <c r="B9">
        <v>9</v>
      </c>
      <c r="C9" s="30">
        <f>VLOOKUP(A9,'Thang bảng lương'!$B$7:$K$44,10,0)</f>
        <v>22470</v>
      </c>
    </row>
    <row r="10" spans="1:3">
      <c r="A10" s="13" t="s">
        <v>209</v>
      </c>
      <c r="B10">
        <v>1</v>
      </c>
      <c r="C10" s="30">
        <f>VLOOKUP(A10,'Thang bảng lương'!$B$7:$K$44,2,0)</f>
        <v>7490</v>
      </c>
    </row>
    <row r="11" spans="1:3">
      <c r="A11" s="13" t="s">
        <v>209</v>
      </c>
      <c r="B11">
        <v>2</v>
      </c>
      <c r="C11" s="30">
        <f>VLOOKUP(A11,'Thang bảng lương'!$B$7:$K$44,3,0)</f>
        <v>8988</v>
      </c>
    </row>
    <row r="12" spans="1:3">
      <c r="A12" s="13" t="s">
        <v>209</v>
      </c>
      <c r="B12">
        <v>3</v>
      </c>
      <c r="C12" s="30">
        <f>VLOOKUP(A12,'Thang bảng lương'!$B$7:$K$44,4,0)</f>
        <v>10486</v>
      </c>
    </row>
    <row r="13" spans="1:3">
      <c r="A13" s="13" t="s">
        <v>209</v>
      </c>
      <c r="B13">
        <v>4</v>
      </c>
      <c r="C13" s="30">
        <f>VLOOKUP(A13,'Thang bảng lương'!$B$7:$K$44,5,0)</f>
        <v>11984</v>
      </c>
    </row>
    <row r="14" spans="1:3">
      <c r="A14" s="13" t="s">
        <v>209</v>
      </c>
      <c r="B14">
        <v>5</v>
      </c>
      <c r="C14" s="30">
        <f>VLOOKUP(A14,'Thang bảng lương'!$B$7:$K$44,6,0)</f>
        <v>13482</v>
      </c>
    </row>
    <row r="15" spans="1:3">
      <c r="A15" s="13" t="s">
        <v>209</v>
      </c>
      <c r="B15">
        <v>6</v>
      </c>
      <c r="C15" s="30">
        <f>VLOOKUP(A15,'Thang bảng lương'!$B$7:$K$44,7,0)</f>
        <v>14980</v>
      </c>
    </row>
    <row r="16" spans="1:3">
      <c r="A16" s="13" t="s">
        <v>209</v>
      </c>
      <c r="B16">
        <v>7</v>
      </c>
      <c r="C16" s="30">
        <f>VLOOKUP(A16,'Thang bảng lương'!$B$7:$K$44,8,0)</f>
        <v>16478.000000000004</v>
      </c>
    </row>
    <row r="17" spans="1:3">
      <c r="A17" s="13" t="s">
        <v>209</v>
      </c>
      <c r="B17">
        <v>8</v>
      </c>
      <c r="C17" s="30">
        <f>VLOOKUP(A17,'Thang bảng lương'!$B$7:$K$44,9,0)</f>
        <v>17976</v>
      </c>
    </row>
    <row r="18" spans="1:3">
      <c r="A18" s="13" t="s">
        <v>209</v>
      </c>
      <c r="B18">
        <v>9</v>
      </c>
      <c r="C18" s="30">
        <f>VLOOKUP(A18,'Thang bảng lương'!$B$7:$K$44,10,0)</f>
        <v>19474</v>
      </c>
    </row>
    <row r="19" spans="1:3">
      <c r="A19" s="13" t="s">
        <v>210</v>
      </c>
      <c r="B19">
        <v>1</v>
      </c>
      <c r="C19" s="30">
        <f>VLOOKUP(A19,'Thang bảng lương'!$B$7:$K$44,2,0)</f>
        <v>6366.5</v>
      </c>
    </row>
    <row r="20" spans="1:3">
      <c r="A20" s="13" t="s">
        <v>210</v>
      </c>
      <c r="B20">
        <v>2</v>
      </c>
      <c r="C20" s="30">
        <f>VLOOKUP(A20,'Thang bảng lương'!$B$7:$K$44,3,0)</f>
        <v>7490</v>
      </c>
    </row>
    <row r="21" spans="1:3">
      <c r="A21" s="13" t="s">
        <v>210</v>
      </c>
      <c r="B21">
        <v>3</v>
      </c>
      <c r="C21" s="30">
        <f>VLOOKUP(A21,'Thang bảng lương'!$B$7:$K$44,4,0)</f>
        <v>8613.5</v>
      </c>
    </row>
    <row r="22" spans="1:3">
      <c r="A22" s="13" t="s">
        <v>210</v>
      </c>
      <c r="B22">
        <v>4</v>
      </c>
      <c r="C22" s="30">
        <f>VLOOKUP(A22,'Thang bảng lương'!$B$7:$K$44,5,0)</f>
        <v>9737</v>
      </c>
    </row>
    <row r="23" spans="1:3">
      <c r="A23" s="13" t="s">
        <v>210</v>
      </c>
      <c r="B23">
        <v>5</v>
      </c>
      <c r="C23" s="30">
        <f>VLOOKUP(A23,'Thang bảng lương'!$B$7:$K$44,6,0)</f>
        <v>10860.5</v>
      </c>
    </row>
    <row r="24" spans="1:3">
      <c r="A24" s="13" t="s">
        <v>210</v>
      </c>
      <c r="B24">
        <v>6</v>
      </c>
      <c r="C24" s="30">
        <f>VLOOKUP(A24,'Thang bảng lương'!$B$7:$K$44,7,0)</f>
        <v>11984</v>
      </c>
    </row>
    <row r="25" spans="1:3">
      <c r="A25" s="13" t="s">
        <v>210</v>
      </c>
      <c r="B25">
        <v>7</v>
      </c>
      <c r="C25" s="30">
        <f>VLOOKUP(A25,'Thang bảng lương'!$B$7:$K$44,8,0)</f>
        <v>13107.5</v>
      </c>
    </row>
    <row r="26" spans="1:3">
      <c r="A26" s="13" t="s">
        <v>210</v>
      </c>
      <c r="B26">
        <v>8</v>
      </c>
      <c r="C26" s="30">
        <f>VLOOKUP(A26,'Thang bảng lương'!$B$7:$K$44,9,0)</f>
        <v>14231</v>
      </c>
    </row>
    <row r="27" spans="1:3">
      <c r="A27" s="13" t="s">
        <v>210</v>
      </c>
      <c r="B27">
        <v>9</v>
      </c>
      <c r="C27" s="30">
        <f>VLOOKUP(A27,'Thang bảng lương'!$B$7:$K$44,10,0)</f>
        <v>15354.499999999998</v>
      </c>
    </row>
    <row r="28" spans="1:3">
      <c r="A28" s="13" t="s">
        <v>211</v>
      </c>
      <c r="B28">
        <v>1</v>
      </c>
      <c r="C28" s="30">
        <f>VLOOKUP(A28,'Thang bảng lương'!$B$7:$K$44,2,0)</f>
        <v>5617.5</v>
      </c>
    </row>
    <row r="29" spans="1:3">
      <c r="A29" s="13" t="s">
        <v>211</v>
      </c>
      <c r="B29">
        <v>2</v>
      </c>
      <c r="C29" s="30">
        <f>VLOOKUP(A29,'Thang bảng lương'!$B$7:$K$44,3,0)</f>
        <v>6366.5</v>
      </c>
    </row>
    <row r="30" spans="1:3">
      <c r="A30" s="13" t="s">
        <v>211</v>
      </c>
      <c r="B30">
        <v>3</v>
      </c>
      <c r="C30" s="30">
        <f>VLOOKUP(A30,'Thang bảng lương'!$B$7:$K$44,4,0)</f>
        <v>7115.5</v>
      </c>
    </row>
    <row r="31" spans="1:3">
      <c r="A31" s="13" t="s">
        <v>211</v>
      </c>
      <c r="B31">
        <v>4</v>
      </c>
      <c r="C31" s="30">
        <f>VLOOKUP(A31,'Thang bảng lương'!$B$7:$K$44,5,0)</f>
        <v>7864.5</v>
      </c>
    </row>
    <row r="32" spans="1:3">
      <c r="A32" s="13" t="s">
        <v>211</v>
      </c>
      <c r="B32">
        <v>5</v>
      </c>
      <c r="C32" s="30">
        <f>VLOOKUP(A32,'Thang bảng lương'!$B$7:$K$44,6,0)</f>
        <v>8613.5</v>
      </c>
    </row>
    <row r="33" spans="1:3">
      <c r="A33" s="13" t="s">
        <v>211</v>
      </c>
      <c r="B33">
        <v>6</v>
      </c>
      <c r="C33" s="30">
        <f>VLOOKUP(A33,'Thang bảng lương'!$B$7:$K$44,7,0)</f>
        <v>9362.5</v>
      </c>
    </row>
    <row r="34" spans="1:3">
      <c r="A34" s="13" t="s">
        <v>211</v>
      </c>
      <c r="B34">
        <v>7</v>
      </c>
      <c r="C34" s="30">
        <f>VLOOKUP(A34,'Thang bảng lương'!$B$7:$K$44,8,0)</f>
        <v>10111.5</v>
      </c>
    </row>
    <row r="35" spans="1:3">
      <c r="A35" s="13" t="s">
        <v>211</v>
      </c>
      <c r="B35">
        <v>8</v>
      </c>
      <c r="C35" s="30">
        <f>VLOOKUP(A35,'Thang bảng lương'!$B$7:$K$44,9,0)</f>
        <v>10860.5</v>
      </c>
    </row>
    <row r="36" spans="1:3">
      <c r="A36" s="13" t="s">
        <v>211</v>
      </c>
      <c r="B36">
        <v>9</v>
      </c>
      <c r="C36" s="30">
        <f>VLOOKUP(A36,'Thang bảng lương'!$B$7:$K$44,10,0)</f>
        <v>11609.5</v>
      </c>
    </row>
    <row r="37" spans="1:3">
      <c r="A37" s="13" t="s">
        <v>212</v>
      </c>
      <c r="B37">
        <v>1</v>
      </c>
      <c r="C37" s="30">
        <f>VLOOKUP(A37,'Thang bảng lương'!$B$7:$K$44,2,0)</f>
        <v>3745</v>
      </c>
    </row>
    <row r="38" spans="1:3">
      <c r="A38" s="13" t="s">
        <v>212</v>
      </c>
      <c r="B38">
        <v>2</v>
      </c>
      <c r="C38" s="30">
        <f>VLOOKUP(A38,'Thang bảng lương'!$B$7:$K$44,3,0)</f>
        <v>4494</v>
      </c>
    </row>
    <row r="39" spans="1:3">
      <c r="A39" s="13" t="s">
        <v>212</v>
      </c>
      <c r="B39">
        <v>3</v>
      </c>
      <c r="C39" s="30">
        <f>VLOOKUP(A39,'Thang bảng lương'!$B$7:$K$44,4,0)</f>
        <v>5243</v>
      </c>
    </row>
    <row r="40" spans="1:3">
      <c r="A40" s="13" t="s">
        <v>212</v>
      </c>
      <c r="B40">
        <v>4</v>
      </c>
      <c r="C40" s="30">
        <f>VLOOKUP(A40,'Thang bảng lương'!$B$7:$K$44,5,0)</f>
        <v>5992</v>
      </c>
    </row>
    <row r="41" spans="1:3">
      <c r="A41" s="13" t="s">
        <v>212</v>
      </c>
      <c r="B41">
        <v>5</v>
      </c>
      <c r="C41" s="30">
        <f>VLOOKUP(A41,'Thang bảng lương'!$B$7:$K$44,6,0)</f>
        <v>6741</v>
      </c>
    </row>
    <row r="42" spans="1:3">
      <c r="A42" s="13" t="s">
        <v>212</v>
      </c>
      <c r="B42">
        <v>6</v>
      </c>
      <c r="C42" s="30">
        <f>VLOOKUP(A42,'Thang bảng lương'!$B$7:$K$44,7,0)</f>
        <v>7490</v>
      </c>
    </row>
    <row r="43" spans="1:3">
      <c r="A43" s="13" t="s">
        <v>212</v>
      </c>
      <c r="B43">
        <v>7</v>
      </c>
      <c r="C43" s="30">
        <f>VLOOKUP(A43,'Thang bảng lương'!$B$7:$K$44,8,0)</f>
        <v>8239.0000000000018</v>
      </c>
    </row>
    <row r="44" spans="1:3">
      <c r="A44" s="13" t="s">
        <v>212</v>
      </c>
      <c r="B44">
        <v>8</v>
      </c>
      <c r="C44" s="30">
        <f>VLOOKUP(A44,'Thang bảng lương'!$B$7:$K$44,9,0)</f>
        <v>8988</v>
      </c>
    </row>
    <row r="45" spans="1:3">
      <c r="A45" s="13" t="s">
        <v>212</v>
      </c>
      <c r="B45">
        <v>9</v>
      </c>
      <c r="C45" s="30">
        <f>VLOOKUP(A45,'Thang bảng lương'!$B$7:$K$44,10,0)</f>
        <v>9737</v>
      </c>
    </row>
    <row r="46" spans="1:3">
      <c r="A46" s="13" t="s">
        <v>233</v>
      </c>
      <c r="B46">
        <v>1</v>
      </c>
      <c r="C46" s="30">
        <f>VLOOKUP(A46,'Thang bảng lương'!$B$7:$K$44,2,0)</f>
        <v>3745</v>
      </c>
    </row>
    <row r="47" spans="1:3">
      <c r="A47" s="13" t="s">
        <v>233</v>
      </c>
      <c r="B47">
        <v>2</v>
      </c>
      <c r="C47" s="30">
        <f>VLOOKUP(A47,'Thang bảng lương'!$B$7:$K$44,3,0)</f>
        <v>4119.5000000000009</v>
      </c>
    </row>
    <row r="48" spans="1:3">
      <c r="A48" s="13" t="s">
        <v>233</v>
      </c>
      <c r="B48">
        <v>3</v>
      </c>
      <c r="C48" s="30">
        <f>VLOOKUP(A48,'Thang bảng lương'!$B$7:$K$44,4,0)</f>
        <v>4494</v>
      </c>
    </row>
    <row r="49" spans="1:3">
      <c r="A49" s="13" t="s">
        <v>233</v>
      </c>
      <c r="B49">
        <v>4</v>
      </c>
      <c r="C49" s="30">
        <f>VLOOKUP(A49,'Thang bảng lương'!$B$7:$K$44,5,0)</f>
        <v>4868.5</v>
      </c>
    </row>
    <row r="50" spans="1:3">
      <c r="A50" s="13" t="s">
        <v>233</v>
      </c>
      <c r="B50">
        <v>5</v>
      </c>
      <c r="C50" s="30">
        <f>VLOOKUP(A50,'Thang bảng lương'!$B$7:$K$44,6,0)</f>
        <v>5243</v>
      </c>
    </row>
    <row r="51" spans="1:3">
      <c r="A51" s="13" t="s">
        <v>233</v>
      </c>
      <c r="B51">
        <v>6</v>
      </c>
      <c r="C51" s="30">
        <f>VLOOKUP(A51,'Thang bảng lương'!$B$7:$K$44,7,0)</f>
        <v>5617.5</v>
      </c>
    </row>
    <row r="52" spans="1:3">
      <c r="A52" s="13" t="s">
        <v>233</v>
      </c>
      <c r="B52">
        <v>7</v>
      </c>
      <c r="C52" s="30">
        <f>VLOOKUP(A52,'Thang bảng lương'!$B$7:$K$44,8,0)</f>
        <v>5992</v>
      </c>
    </row>
    <row r="53" spans="1:3">
      <c r="A53" s="13" t="s">
        <v>233</v>
      </c>
      <c r="B53">
        <v>8</v>
      </c>
      <c r="C53" s="30">
        <f>VLOOKUP(A53,'Thang bảng lương'!$B$7:$K$44,9,0)</f>
        <v>6366.5</v>
      </c>
    </row>
    <row r="54" spans="1:3">
      <c r="A54" s="13" t="s">
        <v>233</v>
      </c>
      <c r="B54">
        <v>9</v>
      </c>
      <c r="C54" s="30">
        <f>VLOOKUP(A54,'Thang bảng lương'!$B$7:$K$44,10,0)</f>
        <v>6741</v>
      </c>
    </row>
    <row r="55" spans="1:3">
      <c r="A55" s="13" t="s">
        <v>234</v>
      </c>
      <c r="B55">
        <v>1</v>
      </c>
      <c r="C55" s="30">
        <f>VLOOKUP(A55,'Thang bảng lương'!$B$7:$K$44,2,0)</f>
        <v>3745</v>
      </c>
    </row>
    <row r="56" spans="1:3">
      <c r="A56" s="13" t="s">
        <v>234</v>
      </c>
      <c r="B56">
        <v>2</v>
      </c>
      <c r="C56" s="30">
        <f>VLOOKUP(A56,'Thang bảng lương'!$B$7:$K$44,3,0)</f>
        <v>4119.5000000000009</v>
      </c>
    </row>
    <row r="57" spans="1:3">
      <c r="A57" s="13" t="s">
        <v>234</v>
      </c>
      <c r="B57">
        <v>3</v>
      </c>
      <c r="C57" s="30">
        <f>VLOOKUP(A57,'Thang bảng lương'!$B$7:$K$44,4,0)</f>
        <v>4494</v>
      </c>
    </row>
    <row r="58" spans="1:3">
      <c r="A58" s="13" t="s">
        <v>234</v>
      </c>
      <c r="B58">
        <v>4</v>
      </c>
      <c r="C58" s="30">
        <f>VLOOKUP(A58,'Thang bảng lương'!$B$7:$K$44,5,0)</f>
        <v>4868.5</v>
      </c>
    </row>
    <row r="59" spans="1:3">
      <c r="A59" s="13" t="s">
        <v>234</v>
      </c>
      <c r="B59">
        <v>5</v>
      </c>
      <c r="C59" s="30">
        <f>VLOOKUP(A59,'Thang bảng lương'!$B$7:$K$44,6,0)</f>
        <v>5243</v>
      </c>
    </row>
    <row r="60" spans="1:3">
      <c r="A60" s="13" t="s">
        <v>234</v>
      </c>
      <c r="B60">
        <v>6</v>
      </c>
      <c r="C60" s="30">
        <f>VLOOKUP(A60,'Thang bảng lương'!$B$7:$K$44,7,0)</f>
        <v>5617.5</v>
      </c>
    </row>
    <row r="61" spans="1:3">
      <c r="A61" s="13" t="s">
        <v>234</v>
      </c>
      <c r="B61">
        <v>7</v>
      </c>
      <c r="C61" s="30">
        <f>VLOOKUP(A61,'Thang bảng lương'!$B$7:$K$44,8,0)</f>
        <v>5992</v>
      </c>
    </row>
    <row r="62" spans="1:3">
      <c r="A62" s="13" t="s">
        <v>234</v>
      </c>
      <c r="B62">
        <v>8</v>
      </c>
      <c r="C62" s="30">
        <f>VLOOKUP(A62,'Thang bảng lương'!$B$7:$K$44,9,0)</f>
        <v>6366.5</v>
      </c>
    </row>
    <row r="63" spans="1:3">
      <c r="A63" s="13" t="s">
        <v>234</v>
      </c>
      <c r="B63">
        <v>9</v>
      </c>
      <c r="C63" s="30">
        <f>VLOOKUP(A63,'Thang bảng lương'!$B$7:$K$44,10,0)</f>
        <v>6741</v>
      </c>
    </row>
    <row r="64" spans="1:3">
      <c r="A64" s="13" t="s">
        <v>235</v>
      </c>
      <c r="B64">
        <v>1</v>
      </c>
      <c r="C64" s="30">
        <f>VLOOKUP(A64,'Thang bảng lương'!$B$7:$K$44,2,0)</f>
        <v>3745</v>
      </c>
    </row>
    <row r="65" spans="1:3">
      <c r="A65" s="13" t="s">
        <v>235</v>
      </c>
      <c r="B65">
        <v>2</v>
      </c>
      <c r="C65" s="30">
        <f>VLOOKUP(A65,'Thang bảng lương'!$B$7:$K$44,3,0)</f>
        <v>3932.25</v>
      </c>
    </row>
    <row r="66" spans="1:3">
      <c r="A66" s="13" t="s">
        <v>235</v>
      </c>
      <c r="B66">
        <v>3</v>
      </c>
      <c r="C66" s="30">
        <f>VLOOKUP(A66,'Thang bảng lương'!$B$7:$K$44,4,0)</f>
        <v>4119.5000000000009</v>
      </c>
    </row>
    <row r="67" spans="1:3">
      <c r="A67" s="13" t="s">
        <v>235</v>
      </c>
      <c r="B67">
        <v>4</v>
      </c>
      <c r="C67" s="30">
        <f>VLOOKUP(A67,'Thang bảng lương'!$B$7:$K$44,5,0)</f>
        <v>4306.75</v>
      </c>
    </row>
    <row r="68" spans="1:3">
      <c r="A68" s="13" t="s">
        <v>235</v>
      </c>
      <c r="B68">
        <v>5</v>
      </c>
      <c r="C68" s="30">
        <f>VLOOKUP(A68,'Thang bảng lương'!$B$7:$K$44,6,0)</f>
        <v>4494</v>
      </c>
    </row>
    <row r="69" spans="1:3">
      <c r="A69" s="13" t="s">
        <v>235</v>
      </c>
      <c r="B69">
        <v>6</v>
      </c>
      <c r="C69" s="30">
        <f>VLOOKUP(A69,'Thang bảng lương'!$B$7:$K$44,7,0)</f>
        <v>4681.25</v>
      </c>
    </row>
    <row r="70" spans="1:3">
      <c r="A70" s="13" t="s">
        <v>235</v>
      </c>
      <c r="B70">
        <v>7</v>
      </c>
      <c r="C70" s="30">
        <f>VLOOKUP(A70,'Thang bảng lương'!$B$7:$K$44,8,0)</f>
        <v>4868.5</v>
      </c>
    </row>
    <row r="71" spans="1:3">
      <c r="A71" s="13" t="s">
        <v>235</v>
      </c>
      <c r="B71">
        <v>8</v>
      </c>
      <c r="C71" s="30">
        <f>VLOOKUP(A71,'Thang bảng lương'!$B$7:$K$44,9,0)</f>
        <v>5055.75</v>
      </c>
    </row>
    <row r="72" spans="1:3">
      <c r="A72" s="13" t="s">
        <v>235</v>
      </c>
      <c r="B72">
        <v>9</v>
      </c>
      <c r="C72" s="30">
        <f>VLOOKUP(A72,'Thang bảng lương'!$B$7:$K$44,10,0)</f>
        <v>5243</v>
      </c>
    </row>
    <row r="73" spans="1:3">
      <c r="A73" s="13" t="s">
        <v>236</v>
      </c>
      <c r="B73">
        <v>1</v>
      </c>
      <c r="C73" s="30">
        <f>VLOOKUP(A73,'Thang bảng lương'!$B$7:$K$44,2,0)</f>
        <v>3745</v>
      </c>
    </row>
    <row r="74" spans="1:3">
      <c r="A74" s="13" t="s">
        <v>236</v>
      </c>
      <c r="B74">
        <v>2</v>
      </c>
      <c r="C74" s="30">
        <f>VLOOKUP(A74,'Thang bảng lương'!$B$7:$K$44,3,0)</f>
        <v>3932.25</v>
      </c>
    </row>
    <row r="75" spans="1:3">
      <c r="A75" s="13" t="s">
        <v>236</v>
      </c>
      <c r="B75">
        <v>3</v>
      </c>
      <c r="C75" s="30">
        <f>VLOOKUP(A75,'Thang bảng lương'!$B$7:$K$44,4,0)</f>
        <v>4119.5000000000009</v>
      </c>
    </row>
    <row r="76" spans="1:3">
      <c r="A76" s="13" t="s">
        <v>236</v>
      </c>
      <c r="B76">
        <v>4</v>
      </c>
      <c r="C76" s="30">
        <f>VLOOKUP(A76,'Thang bảng lương'!$B$7:$K$44,5,0)</f>
        <v>4306.75</v>
      </c>
    </row>
    <row r="77" spans="1:3">
      <c r="A77" s="13" t="s">
        <v>236</v>
      </c>
      <c r="B77">
        <v>5</v>
      </c>
      <c r="C77" s="30">
        <f>VLOOKUP(A77,'Thang bảng lương'!$B$7:$K$44,6,0)</f>
        <v>4494</v>
      </c>
    </row>
    <row r="78" spans="1:3">
      <c r="A78" s="13" t="s">
        <v>236</v>
      </c>
      <c r="B78">
        <v>6</v>
      </c>
      <c r="C78" s="30">
        <f>VLOOKUP(A78,'Thang bảng lương'!$B$7:$K$44,7,0)</f>
        <v>4681.25</v>
      </c>
    </row>
    <row r="79" spans="1:3">
      <c r="A79" s="13" t="s">
        <v>236</v>
      </c>
      <c r="B79">
        <v>7</v>
      </c>
      <c r="C79" s="30">
        <f>VLOOKUP(A79,'Thang bảng lương'!$B$7:$K$44,8,0)</f>
        <v>4868.5</v>
      </c>
    </row>
    <row r="80" spans="1:3">
      <c r="A80" s="13" t="s">
        <v>236</v>
      </c>
      <c r="B80">
        <v>8</v>
      </c>
      <c r="C80" s="30">
        <f>VLOOKUP(A80,'Thang bảng lương'!$B$7:$K$44,9,0)</f>
        <v>5055.75</v>
      </c>
    </row>
    <row r="81" spans="1:3">
      <c r="A81" s="13" t="s">
        <v>236</v>
      </c>
      <c r="B81">
        <v>9</v>
      </c>
      <c r="C81" s="30">
        <f>VLOOKUP(A81,'Thang bảng lương'!$B$7:$K$44,10,0)</f>
        <v>5243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44"/>
  <sheetViews>
    <sheetView workbookViewId="0">
      <selection activeCell="A21" sqref="A21"/>
    </sheetView>
  </sheetViews>
  <sheetFormatPr defaultRowHeight="14.4"/>
  <cols>
    <col min="1" max="1" width="27.88671875" style="6" customWidth="1"/>
    <col min="2" max="2" width="16" style="6" customWidth="1"/>
    <col min="3" max="5" width="9.33203125" style="6" customWidth="1"/>
    <col min="6" max="6" width="10.33203125" style="6" bestFit="1" customWidth="1"/>
    <col min="7" max="11" width="9.33203125" style="6" customWidth="1"/>
    <col min="13" max="246" width="9.109375" style="6"/>
    <col min="247" max="247" width="38.109375" style="6" customWidth="1"/>
    <col min="248" max="248" width="9.109375" style="6"/>
    <col min="249" max="257" width="9.33203125" style="6" customWidth="1"/>
    <col min="258" max="502" width="9.109375" style="6"/>
    <col min="503" max="503" width="38.109375" style="6" customWidth="1"/>
    <col min="504" max="504" width="9.109375" style="6"/>
    <col min="505" max="513" width="9.33203125" style="6" customWidth="1"/>
    <col min="514" max="758" width="9.109375" style="6"/>
    <col min="759" max="759" width="38.109375" style="6" customWidth="1"/>
    <col min="760" max="760" width="9.109375" style="6"/>
    <col min="761" max="769" width="9.33203125" style="6" customWidth="1"/>
    <col min="770" max="1014" width="9.109375" style="6"/>
    <col min="1015" max="1015" width="38.109375" style="6" customWidth="1"/>
    <col min="1016" max="1016" width="9.109375" style="6"/>
    <col min="1017" max="1025" width="9.33203125" style="6" customWidth="1"/>
    <col min="1026" max="1270" width="9.109375" style="6"/>
    <col min="1271" max="1271" width="38.109375" style="6" customWidth="1"/>
    <col min="1272" max="1272" width="9.109375" style="6"/>
    <col min="1273" max="1281" width="9.33203125" style="6" customWidth="1"/>
    <col min="1282" max="1526" width="9.109375" style="6"/>
    <col min="1527" max="1527" width="38.109375" style="6" customWidth="1"/>
    <col min="1528" max="1528" width="9.109375" style="6"/>
    <col min="1529" max="1537" width="9.33203125" style="6" customWidth="1"/>
    <col min="1538" max="1782" width="9.109375" style="6"/>
    <col min="1783" max="1783" width="38.109375" style="6" customWidth="1"/>
    <col min="1784" max="1784" width="9.109375" style="6"/>
    <col min="1785" max="1793" width="9.33203125" style="6" customWidth="1"/>
    <col min="1794" max="2038" width="9.109375" style="6"/>
    <col min="2039" max="2039" width="38.109375" style="6" customWidth="1"/>
    <col min="2040" max="2040" width="9.109375" style="6"/>
    <col min="2041" max="2049" width="9.33203125" style="6" customWidth="1"/>
    <col min="2050" max="2294" width="9.109375" style="6"/>
    <col min="2295" max="2295" width="38.109375" style="6" customWidth="1"/>
    <col min="2296" max="2296" width="9.109375" style="6"/>
    <col min="2297" max="2305" width="9.33203125" style="6" customWidth="1"/>
    <col min="2306" max="2550" width="9.109375" style="6"/>
    <col min="2551" max="2551" width="38.109375" style="6" customWidth="1"/>
    <col min="2552" max="2552" width="9.109375" style="6"/>
    <col min="2553" max="2561" width="9.33203125" style="6" customWidth="1"/>
    <col min="2562" max="2806" width="9.109375" style="6"/>
    <col min="2807" max="2807" width="38.109375" style="6" customWidth="1"/>
    <col min="2808" max="2808" width="9.109375" style="6"/>
    <col min="2809" max="2817" width="9.33203125" style="6" customWidth="1"/>
    <col min="2818" max="3062" width="9.109375" style="6"/>
    <col min="3063" max="3063" width="38.109375" style="6" customWidth="1"/>
    <col min="3064" max="3064" width="9.109375" style="6"/>
    <col min="3065" max="3073" width="9.33203125" style="6" customWidth="1"/>
    <col min="3074" max="3318" width="9.109375" style="6"/>
    <col min="3319" max="3319" width="38.109375" style="6" customWidth="1"/>
    <col min="3320" max="3320" width="9.109375" style="6"/>
    <col min="3321" max="3329" width="9.33203125" style="6" customWidth="1"/>
    <col min="3330" max="3574" width="9.109375" style="6"/>
    <col min="3575" max="3575" width="38.109375" style="6" customWidth="1"/>
    <col min="3576" max="3576" width="9.109375" style="6"/>
    <col min="3577" max="3585" width="9.33203125" style="6" customWidth="1"/>
    <col min="3586" max="3830" width="9.109375" style="6"/>
    <col min="3831" max="3831" width="38.109375" style="6" customWidth="1"/>
    <col min="3832" max="3832" width="9.109375" style="6"/>
    <col min="3833" max="3841" width="9.33203125" style="6" customWidth="1"/>
    <col min="3842" max="4086" width="9.109375" style="6"/>
    <col min="4087" max="4087" width="38.109375" style="6" customWidth="1"/>
    <col min="4088" max="4088" width="9.109375" style="6"/>
    <col min="4089" max="4097" width="9.33203125" style="6" customWidth="1"/>
    <col min="4098" max="4342" width="9.109375" style="6"/>
    <col min="4343" max="4343" width="38.109375" style="6" customWidth="1"/>
    <col min="4344" max="4344" width="9.109375" style="6"/>
    <col min="4345" max="4353" width="9.33203125" style="6" customWidth="1"/>
    <col min="4354" max="4598" width="9.109375" style="6"/>
    <col min="4599" max="4599" width="38.109375" style="6" customWidth="1"/>
    <col min="4600" max="4600" width="9.109375" style="6"/>
    <col min="4601" max="4609" width="9.33203125" style="6" customWidth="1"/>
    <col min="4610" max="4854" width="9.109375" style="6"/>
    <col min="4855" max="4855" width="38.109375" style="6" customWidth="1"/>
    <col min="4856" max="4856" width="9.109375" style="6"/>
    <col min="4857" max="4865" width="9.33203125" style="6" customWidth="1"/>
    <col min="4866" max="5110" width="9.109375" style="6"/>
    <col min="5111" max="5111" width="38.109375" style="6" customWidth="1"/>
    <col min="5112" max="5112" width="9.109375" style="6"/>
    <col min="5113" max="5121" width="9.33203125" style="6" customWidth="1"/>
    <col min="5122" max="5366" width="9.109375" style="6"/>
    <col min="5367" max="5367" width="38.109375" style="6" customWidth="1"/>
    <col min="5368" max="5368" width="9.109375" style="6"/>
    <col min="5369" max="5377" width="9.33203125" style="6" customWidth="1"/>
    <col min="5378" max="5622" width="9.109375" style="6"/>
    <col min="5623" max="5623" width="38.109375" style="6" customWidth="1"/>
    <col min="5624" max="5624" width="9.109375" style="6"/>
    <col min="5625" max="5633" width="9.33203125" style="6" customWidth="1"/>
    <col min="5634" max="5878" width="9.109375" style="6"/>
    <col min="5879" max="5879" width="38.109375" style="6" customWidth="1"/>
    <col min="5880" max="5880" width="9.109375" style="6"/>
    <col min="5881" max="5889" width="9.33203125" style="6" customWidth="1"/>
    <col min="5890" max="6134" width="9.109375" style="6"/>
    <col min="6135" max="6135" width="38.109375" style="6" customWidth="1"/>
    <col min="6136" max="6136" width="9.109375" style="6"/>
    <col min="6137" max="6145" width="9.33203125" style="6" customWidth="1"/>
    <col min="6146" max="6390" width="9.109375" style="6"/>
    <col min="6391" max="6391" width="38.109375" style="6" customWidth="1"/>
    <col min="6392" max="6392" width="9.109375" style="6"/>
    <col min="6393" max="6401" width="9.33203125" style="6" customWidth="1"/>
    <col min="6402" max="6646" width="9.109375" style="6"/>
    <col min="6647" max="6647" width="38.109375" style="6" customWidth="1"/>
    <col min="6648" max="6648" width="9.109375" style="6"/>
    <col min="6649" max="6657" width="9.33203125" style="6" customWidth="1"/>
    <col min="6658" max="6902" width="9.109375" style="6"/>
    <col min="6903" max="6903" width="38.109375" style="6" customWidth="1"/>
    <col min="6904" max="6904" width="9.109375" style="6"/>
    <col min="6905" max="6913" width="9.33203125" style="6" customWidth="1"/>
    <col min="6914" max="7158" width="9.109375" style="6"/>
    <col min="7159" max="7159" width="38.109375" style="6" customWidth="1"/>
    <col min="7160" max="7160" width="9.109375" style="6"/>
    <col min="7161" max="7169" width="9.33203125" style="6" customWidth="1"/>
    <col min="7170" max="7414" width="9.109375" style="6"/>
    <col min="7415" max="7415" width="38.109375" style="6" customWidth="1"/>
    <col min="7416" max="7416" width="9.109375" style="6"/>
    <col min="7417" max="7425" width="9.33203125" style="6" customWidth="1"/>
    <col min="7426" max="7670" width="9.109375" style="6"/>
    <col min="7671" max="7671" width="38.109375" style="6" customWidth="1"/>
    <col min="7672" max="7672" width="9.109375" style="6"/>
    <col min="7673" max="7681" width="9.33203125" style="6" customWidth="1"/>
    <col min="7682" max="7926" width="9.109375" style="6"/>
    <col min="7927" max="7927" width="38.109375" style="6" customWidth="1"/>
    <col min="7928" max="7928" width="9.109375" style="6"/>
    <col min="7929" max="7937" width="9.33203125" style="6" customWidth="1"/>
    <col min="7938" max="8182" width="9.109375" style="6"/>
    <col min="8183" max="8183" width="38.109375" style="6" customWidth="1"/>
    <col min="8184" max="8184" width="9.109375" style="6"/>
    <col min="8185" max="8193" width="9.33203125" style="6" customWidth="1"/>
    <col min="8194" max="8438" width="9.109375" style="6"/>
    <col min="8439" max="8439" width="38.109375" style="6" customWidth="1"/>
    <col min="8440" max="8440" width="9.109375" style="6"/>
    <col min="8441" max="8449" width="9.33203125" style="6" customWidth="1"/>
    <col min="8450" max="8694" width="9.109375" style="6"/>
    <col min="8695" max="8695" width="38.109375" style="6" customWidth="1"/>
    <col min="8696" max="8696" width="9.109375" style="6"/>
    <col min="8697" max="8705" width="9.33203125" style="6" customWidth="1"/>
    <col min="8706" max="8950" width="9.109375" style="6"/>
    <col min="8951" max="8951" width="38.109375" style="6" customWidth="1"/>
    <col min="8952" max="8952" width="9.109375" style="6"/>
    <col min="8953" max="8961" width="9.33203125" style="6" customWidth="1"/>
    <col min="8962" max="9206" width="9.109375" style="6"/>
    <col min="9207" max="9207" width="38.109375" style="6" customWidth="1"/>
    <col min="9208" max="9208" width="9.109375" style="6"/>
    <col min="9209" max="9217" width="9.33203125" style="6" customWidth="1"/>
    <col min="9218" max="9462" width="9.109375" style="6"/>
    <col min="9463" max="9463" width="38.109375" style="6" customWidth="1"/>
    <col min="9464" max="9464" width="9.109375" style="6"/>
    <col min="9465" max="9473" width="9.33203125" style="6" customWidth="1"/>
    <col min="9474" max="9718" width="9.109375" style="6"/>
    <col min="9719" max="9719" width="38.109375" style="6" customWidth="1"/>
    <col min="9720" max="9720" width="9.109375" style="6"/>
    <col min="9721" max="9729" width="9.33203125" style="6" customWidth="1"/>
    <col min="9730" max="9974" width="9.109375" style="6"/>
    <col min="9975" max="9975" width="38.109375" style="6" customWidth="1"/>
    <col min="9976" max="9976" width="9.109375" style="6"/>
    <col min="9977" max="9985" width="9.33203125" style="6" customWidth="1"/>
    <col min="9986" max="10230" width="9.109375" style="6"/>
    <col min="10231" max="10231" width="38.109375" style="6" customWidth="1"/>
    <col min="10232" max="10232" width="9.109375" style="6"/>
    <col min="10233" max="10241" width="9.33203125" style="6" customWidth="1"/>
    <col min="10242" max="10486" width="9.109375" style="6"/>
    <col min="10487" max="10487" width="38.109375" style="6" customWidth="1"/>
    <col min="10488" max="10488" width="9.109375" style="6"/>
    <col min="10489" max="10497" width="9.33203125" style="6" customWidth="1"/>
    <col min="10498" max="10742" width="9.109375" style="6"/>
    <col min="10743" max="10743" width="38.109375" style="6" customWidth="1"/>
    <col min="10744" max="10744" width="9.109375" style="6"/>
    <col min="10745" max="10753" width="9.33203125" style="6" customWidth="1"/>
    <col min="10754" max="10998" width="9.109375" style="6"/>
    <col min="10999" max="10999" width="38.109375" style="6" customWidth="1"/>
    <col min="11000" max="11000" width="9.109375" style="6"/>
    <col min="11001" max="11009" width="9.33203125" style="6" customWidth="1"/>
    <col min="11010" max="11254" width="9.109375" style="6"/>
    <col min="11255" max="11255" width="38.109375" style="6" customWidth="1"/>
    <col min="11256" max="11256" width="9.109375" style="6"/>
    <col min="11257" max="11265" width="9.33203125" style="6" customWidth="1"/>
    <col min="11266" max="11510" width="9.109375" style="6"/>
    <col min="11511" max="11511" width="38.109375" style="6" customWidth="1"/>
    <col min="11512" max="11512" width="9.109375" style="6"/>
    <col min="11513" max="11521" width="9.33203125" style="6" customWidth="1"/>
    <col min="11522" max="11766" width="9.109375" style="6"/>
    <col min="11767" max="11767" width="38.109375" style="6" customWidth="1"/>
    <col min="11768" max="11768" width="9.109375" style="6"/>
    <col min="11769" max="11777" width="9.33203125" style="6" customWidth="1"/>
    <col min="11778" max="12022" width="9.109375" style="6"/>
    <col min="12023" max="12023" width="38.109375" style="6" customWidth="1"/>
    <col min="12024" max="12024" width="9.109375" style="6"/>
    <col min="12025" max="12033" width="9.33203125" style="6" customWidth="1"/>
    <col min="12034" max="12278" width="9.109375" style="6"/>
    <col min="12279" max="12279" width="38.109375" style="6" customWidth="1"/>
    <col min="12280" max="12280" width="9.109375" style="6"/>
    <col min="12281" max="12289" width="9.33203125" style="6" customWidth="1"/>
    <col min="12290" max="12534" width="9.109375" style="6"/>
    <col min="12535" max="12535" width="38.109375" style="6" customWidth="1"/>
    <col min="12536" max="12536" width="9.109375" style="6"/>
    <col min="12537" max="12545" width="9.33203125" style="6" customWidth="1"/>
    <col min="12546" max="12790" width="9.109375" style="6"/>
    <col min="12791" max="12791" width="38.109375" style="6" customWidth="1"/>
    <col min="12792" max="12792" width="9.109375" style="6"/>
    <col min="12793" max="12801" width="9.33203125" style="6" customWidth="1"/>
    <col min="12802" max="13046" width="9.109375" style="6"/>
    <col min="13047" max="13047" width="38.109375" style="6" customWidth="1"/>
    <col min="13048" max="13048" width="9.109375" style="6"/>
    <col min="13049" max="13057" width="9.33203125" style="6" customWidth="1"/>
    <col min="13058" max="13302" width="9.109375" style="6"/>
    <col min="13303" max="13303" width="38.109375" style="6" customWidth="1"/>
    <col min="13304" max="13304" width="9.109375" style="6"/>
    <col min="13305" max="13313" width="9.33203125" style="6" customWidth="1"/>
    <col min="13314" max="13558" width="9.109375" style="6"/>
    <col min="13559" max="13559" width="38.109375" style="6" customWidth="1"/>
    <col min="13560" max="13560" width="9.109375" style="6"/>
    <col min="13561" max="13569" width="9.33203125" style="6" customWidth="1"/>
    <col min="13570" max="13814" width="9.109375" style="6"/>
    <col min="13815" max="13815" width="38.109375" style="6" customWidth="1"/>
    <col min="13816" max="13816" width="9.109375" style="6"/>
    <col min="13817" max="13825" width="9.33203125" style="6" customWidth="1"/>
    <col min="13826" max="14070" width="9.109375" style="6"/>
    <col min="14071" max="14071" width="38.109375" style="6" customWidth="1"/>
    <col min="14072" max="14072" width="9.109375" style="6"/>
    <col min="14073" max="14081" width="9.33203125" style="6" customWidth="1"/>
    <col min="14082" max="14326" width="9.109375" style="6"/>
    <col min="14327" max="14327" width="38.109375" style="6" customWidth="1"/>
    <col min="14328" max="14328" width="9.109375" style="6"/>
    <col min="14329" max="14337" width="9.33203125" style="6" customWidth="1"/>
    <col min="14338" max="14582" width="9.109375" style="6"/>
    <col min="14583" max="14583" width="38.109375" style="6" customWidth="1"/>
    <col min="14584" max="14584" width="9.109375" style="6"/>
    <col min="14585" max="14593" width="9.33203125" style="6" customWidth="1"/>
    <col min="14594" max="14838" width="9.109375" style="6"/>
    <col min="14839" max="14839" width="38.109375" style="6" customWidth="1"/>
    <col min="14840" max="14840" width="9.109375" style="6"/>
    <col min="14841" max="14849" width="9.33203125" style="6" customWidth="1"/>
    <col min="14850" max="15094" width="9.109375" style="6"/>
    <col min="15095" max="15095" width="38.109375" style="6" customWidth="1"/>
    <col min="15096" max="15096" width="9.109375" style="6"/>
    <col min="15097" max="15105" width="9.33203125" style="6" customWidth="1"/>
    <col min="15106" max="15350" width="9.109375" style="6"/>
    <col min="15351" max="15351" width="38.109375" style="6" customWidth="1"/>
    <col min="15352" max="15352" width="9.109375" style="6"/>
    <col min="15353" max="15361" width="9.33203125" style="6" customWidth="1"/>
    <col min="15362" max="15606" width="9.109375" style="6"/>
    <col min="15607" max="15607" width="38.109375" style="6" customWidth="1"/>
    <col min="15608" max="15608" width="9.109375" style="6"/>
    <col min="15609" max="15617" width="9.33203125" style="6" customWidth="1"/>
    <col min="15618" max="15862" width="9.109375" style="6"/>
    <col min="15863" max="15863" width="38.109375" style="6" customWidth="1"/>
    <col min="15864" max="15864" width="9.109375" style="6"/>
    <col min="15865" max="15873" width="9.33203125" style="6" customWidth="1"/>
    <col min="15874" max="16118" width="9.109375" style="6"/>
    <col min="16119" max="16119" width="38.109375" style="6" customWidth="1"/>
    <col min="16120" max="16120" width="9.109375" style="6"/>
    <col min="16121" max="16129" width="9.33203125" style="6" customWidth="1"/>
    <col min="16130" max="16384" width="9.109375" style="6"/>
  </cols>
  <sheetData>
    <row r="1" spans="1:11" ht="15.6">
      <c r="A1" s="9" t="s">
        <v>213</v>
      </c>
      <c r="B1" s="15"/>
      <c r="E1" s="970">
        <f>F2</f>
        <v>3745000</v>
      </c>
      <c r="F1" s="970"/>
      <c r="G1" s="6" t="s">
        <v>226</v>
      </c>
    </row>
    <row r="2" spans="1:11" ht="15.6">
      <c r="A2" s="9" t="s">
        <v>214</v>
      </c>
      <c r="F2" s="159">
        <f>3500000*107%</f>
        <v>3745000</v>
      </c>
    </row>
    <row r="3" spans="1:11">
      <c r="A3" s="10" t="s">
        <v>215</v>
      </c>
      <c r="H3" s="16" t="s">
        <v>480</v>
      </c>
      <c r="I3" s="16"/>
      <c r="J3" s="16"/>
      <c r="K3" s="16"/>
    </row>
    <row r="4" spans="1:11" s="7" customFormat="1" ht="35.25" customHeight="1">
      <c r="A4" s="968" t="s">
        <v>216</v>
      </c>
      <c r="B4" s="44" t="s">
        <v>217</v>
      </c>
      <c r="C4" s="971" t="s">
        <v>416</v>
      </c>
      <c r="D4" s="971"/>
      <c r="E4" s="971"/>
      <c r="F4" s="971"/>
      <c r="G4" s="971"/>
      <c r="H4" s="971"/>
      <c r="I4" s="971"/>
      <c r="J4" s="971"/>
      <c r="K4" s="971"/>
    </row>
    <row r="5" spans="1:11" s="7" customFormat="1" ht="21.75" customHeight="1">
      <c r="A5" s="969"/>
      <c r="B5" s="44"/>
      <c r="C5" s="17">
        <v>1</v>
      </c>
      <c r="D5" s="17">
        <v>2</v>
      </c>
      <c r="E5" s="17">
        <v>3</v>
      </c>
      <c r="F5" s="17">
        <v>4</v>
      </c>
      <c r="G5" s="17">
        <v>5</v>
      </c>
      <c r="H5" s="17">
        <v>6</v>
      </c>
      <c r="I5" s="17">
        <v>7</v>
      </c>
      <c r="J5" s="17">
        <v>8</v>
      </c>
      <c r="K5" s="17">
        <v>9</v>
      </c>
    </row>
    <row r="6" spans="1:11">
      <c r="A6" s="11" t="s">
        <v>412</v>
      </c>
      <c r="B6" s="12"/>
      <c r="C6" s="18"/>
      <c r="D6" s="18"/>
      <c r="E6" s="18"/>
      <c r="F6" s="18"/>
      <c r="G6" s="18"/>
      <c r="H6" s="18"/>
      <c r="I6" s="18"/>
      <c r="J6" s="18"/>
      <c r="K6" s="18"/>
    </row>
    <row r="7" spans="1:11">
      <c r="A7" s="13" t="s">
        <v>218</v>
      </c>
      <c r="B7" s="13"/>
      <c r="C7" s="19">
        <v>2</v>
      </c>
      <c r="D7" s="19">
        <v>2.5</v>
      </c>
      <c r="E7" s="19">
        <v>3</v>
      </c>
      <c r="F7" s="19">
        <v>3.5</v>
      </c>
      <c r="G7" s="19">
        <v>4</v>
      </c>
      <c r="H7" s="19">
        <v>4.5</v>
      </c>
      <c r="I7" s="19">
        <v>5</v>
      </c>
      <c r="J7" s="19">
        <v>5.5</v>
      </c>
      <c r="K7" s="19">
        <v>6</v>
      </c>
    </row>
    <row r="8" spans="1:11" ht="15.6">
      <c r="A8" s="13" t="s">
        <v>219</v>
      </c>
      <c r="B8" s="13" t="s">
        <v>208</v>
      </c>
      <c r="C8" s="20">
        <f t="shared" ref="C8:H8" si="0">C7*$E$1/1000</f>
        <v>7490</v>
      </c>
      <c r="D8" s="20">
        <f t="shared" si="0"/>
        <v>9362.5</v>
      </c>
      <c r="E8" s="20">
        <f t="shared" si="0"/>
        <v>11235</v>
      </c>
      <c r="F8" s="20">
        <f t="shared" si="0"/>
        <v>13107.5</v>
      </c>
      <c r="G8" s="20">
        <f t="shared" si="0"/>
        <v>14980</v>
      </c>
      <c r="H8" s="20">
        <f t="shared" si="0"/>
        <v>16852.5</v>
      </c>
      <c r="I8" s="20">
        <f>I7*$E$1/1000</f>
        <v>18725</v>
      </c>
      <c r="J8" s="20">
        <f>J7*$E$1/1000</f>
        <v>20597.5</v>
      </c>
      <c r="K8" s="20">
        <f>K7*$E$1/1000</f>
        <v>22470</v>
      </c>
    </row>
    <row r="9" spans="1:11" ht="15.6">
      <c r="A9" s="14" t="s">
        <v>220</v>
      </c>
      <c r="B9" s="14"/>
      <c r="C9" s="21">
        <f t="shared" ref="C9:H9" si="1">C8/26</f>
        <v>288.07692307692309</v>
      </c>
      <c r="D9" s="21">
        <f t="shared" si="1"/>
        <v>360.09615384615387</v>
      </c>
      <c r="E9" s="21">
        <f t="shared" si="1"/>
        <v>432.11538461538464</v>
      </c>
      <c r="F9" s="21">
        <f t="shared" si="1"/>
        <v>504.13461538461536</v>
      </c>
      <c r="G9" s="21">
        <f t="shared" si="1"/>
        <v>576.15384615384619</v>
      </c>
      <c r="H9" s="21">
        <f t="shared" si="1"/>
        <v>648.17307692307691</v>
      </c>
      <c r="I9" s="21">
        <f>I8/26</f>
        <v>720.19230769230774</v>
      </c>
      <c r="J9" s="21">
        <f>J8/26</f>
        <v>792.21153846153845</v>
      </c>
      <c r="K9" s="21">
        <f>K8/26</f>
        <v>864.23076923076928</v>
      </c>
    </row>
    <row r="10" spans="1:11">
      <c r="A10" s="11" t="s">
        <v>221</v>
      </c>
      <c r="B10" s="12"/>
      <c r="C10" s="18"/>
      <c r="D10" s="18"/>
      <c r="E10" s="18"/>
      <c r="F10" s="18"/>
      <c r="G10" s="18"/>
      <c r="H10" s="18"/>
      <c r="I10" s="18"/>
      <c r="J10" s="18"/>
      <c r="K10" s="18"/>
    </row>
    <row r="11" spans="1:11">
      <c r="A11" s="13" t="s">
        <v>218</v>
      </c>
      <c r="B11" s="13"/>
      <c r="C11" s="19">
        <v>2</v>
      </c>
      <c r="D11" s="19">
        <v>2.4</v>
      </c>
      <c r="E11" s="19">
        <v>2.8</v>
      </c>
      <c r="F11" s="19">
        <v>3.2</v>
      </c>
      <c r="G11" s="19">
        <v>3.6</v>
      </c>
      <c r="H11" s="19">
        <v>4</v>
      </c>
      <c r="I11" s="19">
        <v>4.4000000000000004</v>
      </c>
      <c r="J11" s="19">
        <v>4.8</v>
      </c>
      <c r="K11" s="19">
        <v>5.2</v>
      </c>
    </row>
    <row r="12" spans="1:11" ht="15.6">
      <c r="A12" s="13" t="s">
        <v>219</v>
      </c>
      <c r="B12" s="13" t="s">
        <v>209</v>
      </c>
      <c r="C12" s="20">
        <f t="shared" ref="C12:H12" si="2">C11*$E$1/1000</f>
        <v>7490</v>
      </c>
      <c r="D12" s="20">
        <f t="shared" si="2"/>
        <v>8988</v>
      </c>
      <c r="E12" s="20">
        <f t="shared" si="2"/>
        <v>10486</v>
      </c>
      <c r="F12" s="20">
        <f t="shared" si="2"/>
        <v>11984</v>
      </c>
      <c r="G12" s="20">
        <f t="shared" si="2"/>
        <v>13482</v>
      </c>
      <c r="H12" s="20">
        <f t="shared" si="2"/>
        <v>14980</v>
      </c>
      <c r="I12" s="20">
        <f>I11*$E$1/1000</f>
        <v>16478.000000000004</v>
      </c>
      <c r="J12" s="20">
        <f>J11*$E$1/1000</f>
        <v>17976</v>
      </c>
      <c r="K12" s="20">
        <f>K11*$E$1/1000</f>
        <v>19474</v>
      </c>
    </row>
    <row r="13" spans="1:11" ht="15.6">
      <c r="A13" s="14" t="s">
        <v>220</v>
      </c>
      <c r="B13" s="14"/>
      <c r="C13" s="21">
        <f t="shared" ref="C13:H13" si="3">C12/26</f>
        <v>288.07692307692309</v>
      </c>
      <c r="D13" s="21">
        <f t="shared" si="3"/>
        <v>345.69230769230768</v>
      </c>
      <c r="E13" s="21">
        <f t="shared" si="3"/>
        <v>403.30769230769232</v>
      </c>
      <c r="F13" s="21">
        <f t="shared" si="3"/>
        <v>460.92307692307691</v>
      </c>
      <c r="G13" s="21">
        <f t="shared" si="3"/>
        <v>518.53846153846155</v>
      </c>
      <c r="H13" s="21">
        <f t="shared" si="3"/>
        <v>576.15384615384619</v>
      </c>
      <c r="I13" s="21">
        <f>I12/26</f>
        <v>633.76923076923094</v>
      </c>
      <c r="J13" s="21">
        <f>J12/26</f>
        <v>691.38461538461536</v>
      </c>
      <c r="K13" s="21">
        <f>K12/26</f>
        <v>749</v>
      </c>
    </row>
    <row r="14" spans="1:11">
      <c r="A14" s="10" t="s">
        <v>222</v>
      </c>
      <c r="B14" s="9"/>
    </row>
    <row r="15" spans="1:11" s="7" customFormat="1" ht="14.25" customHeight="1">
      <c r="A15" s="968" t="s">
        <v>216</v>
      </c>
      <c r="B15" s="42" t="s">
        <v>217</v>
      </c>
      <c r="C15" s="971" t="s">
        <v>227</v>
      </c>
      <c r="D15" s="971"/>
      <c r="E15" s="971"/>
      <c r="F15" s="971"/>
      <c r="G15" s="971"/>
      <c r="H15" s="971"/>
      <c r="I15" s="971"/>
      <c r="J15" s="971"/>
      <c r="K15" s="971"/>
    </row>
    <row r="16" spans="1:11" s="7" customFormat="1" ht="15.6">
      <c r="A16" s="969"/>
      <c r="B16" s="43"/>
      <c r="C16" s="17">
        <v>1</v>
      </c>
      <c r="D16" s="17">
        <v>2</v>
      </c>
      <c r="E16" s="17">
        <v>3</v>
      </c>
      <c r="F16" s="17">
        <v>4</v>
      </c>
      <c r="G16" s="17">
        <v>5</v>
      </c>
      <c r="H16" s="17">
        <v>6</v>
      </c>
      <c r="I16" s="17">
        <v>7</v>
      </c>
      <c r="J16" s="17">
        <v>8</v>
      </c>
      <c r="K16" s="17">
        <v>9</v>
      </c>
    </row>
    <row r="17" spans="1:11">
      <c r="A17" s="11" t="s">
        <v>223</v>
      </c>
      <c r="B17" s="12"/>
      <c r="C17" s="18"/>
      <c r="D17" s="18"/>
      <c r="E17" s="18"/>
      <c r="F17" s="18"/>
      <c r="G17" s="18"/>
      <c r="H17" s="18"/>
      <c r="I17" s="18"/>
      <c r="J17" s="18"/>
      <c r="K17" s="18"/>
    </row>
    <row r="18" spans="1:11">
      <c r="A18" s="13" t="s">
        <v>218</v>
      </c>
      <c r="B18" s="13"/>
      <c r="C18" s="19">
        <v>1.7</v>
      </c>
      <c r="D18" s="19">
        <v>2</v>
      </c>
      <c r="E18" s="19">
        <v>2.2999999999999998</v>
      </c>
      <c r="F18" s="19">
        <v>2.6</v>
      </c>
      <c r="G18" s="19">
        <v>2.9</v>
      </c>
      <c r="H18" s="19">
        <v>3.2</v>
      </c>
      <c r="I18" s="19">
        <v>3.5</v>
      </c>
      <c r="J18" s="19">
        <v>3.8</v>
      </c>
      <c r="K18" s="19">
        <v>4.0999999999999996</v>
      </c>
    </row>
    <row r="19" spans="1:11" ht="15.6">
      <c r="A19" s="13" t="s">
        <v>219</v>
      </c>
      <c r="B19" s="13" t="s">
        <v>210</v>
      </c>
      <c r="C19" s="20">
        <f t="shared" ref="C19:H19" si="4">C18*$E$1/1000</f>
        <v>6366.5</v>
      </c>
      <c r="D19" s="20">
        <f t="shared" si="4"/>
        <v>7490</v>
      </c>
      <c r="E19" s="20">
        <f t="shared" si="4"/>
        <v>8613.5</v>
      </c>
      <c r="F19" s="20">
        <f t="shared" si="4"/>
        <v>9737</v>
      </c>
      <c r="G19" s="20">
        <f t="shared" si="4"/>
        <v>10860.5</v>
      </c>
      <c r="H19" s="20">
        <f t="shared" si="4"/>
        <v>11984</v>
      </c>
      <c r="I19" s="20">
        <f>I18*$E$1/1000</f>
        <v>13107.5</v>
      </c>
      <c r="J19" s="20">
        <f>J18*$E$1/1000</f>
        <v>14231</v>
      </c>
      <c r="K19" s="20">
        <f>K18*$E$1/1000</f>
        <v>15354.499999999998</v>
      </c>
    </row>
    <row r="20" spans="1:11" ht="15.6">
      <c r="A20" s="14" t="s">
        <v>220</v>
      </c>
      <c r="B20" s="14"/>
      <c r="C20" s="21">
        <f t="shared" ref="C20:H20" si="5">C19/26</f>
        <v>244.86538461538461</v>
      </c>
      <c r="D20" s="21">
        <f t="shared" si="5"/>
        <v>288.07692307692309</v>
      </c>
      <c r="E20" s="21">
        <f t="shared" si="5"/>
        <v>331.28846153846155</v>
      </c>
      <c r="F20" s="21">
        <f t="shared" si="5"/>
        <v>374.5</v>
      </c>
      <c r="G20" s="21">
        <f t="shared" si="5"/>
        <v>417.71153846153845</v>
      </c>
      <c r="H20" s="21">
        <f t="shared" si="5"/>
        <v>460.92307692307691</v>
      </c>
      <c r="I20" s="21">
        <f>I19/26</f>
        <v>504.13461538461536</v>
      </c>
      <c r="J20" s="21">
        <f>J19/26</f>
        <v>547.34615384615381</v>
      </c>
      <c r="K20" s="21">
        <f>K19/26</f>
        <v>590.55769230769226</v>
      </c>
    </row>
    <row r="21" spans="1:11">
      <c r="A21" s="11" t="s">
        <v>505</v>
      </c>
      <c r="B21" s="12"/>
      <c r="C21" s="18"/>
      <c r="D21" s="18"/>
      <c r="E21" s="18"/>
      <c r="F21" s="18"/>
      <c r="G21" s="18"/>
      <c r="H21" s="18"/>
      <c r="I21" s="18"/>
      <c r="J21" s="18"/>
      <c r="K21" s="18"/>
    </row>
    <row r="22" spans="1:11">
      <c r="A22" s="13" t="s">
        <v>218</v>
      </c>
      <c r="B22" s="13"/>
      <c r="C22" s="19">
        <v>1.5</v>
      </c>
      <c r="D22" s="19">
        <v>1.7</v>
      </c>
      <c r="E22" s="19">
        <v>1.9</v>
      </c>
      <c r="F22" s="19">
        <v>2.1</v>
      </c>
      <c r="G22" s="19">
        <v>2.2999999999999998</v>
      </c>
      <c r="H22" s="19">
        <v>2.5</v>
      </c>
      <c r="I22" s="19">
        <v>2.7</v>
      </c>
      <c r="J22" s="19">
        <v>2.9</v>
      </c>
      <c r="K22" s="19">
        <v>3.1</v>
      </c>
    </row>
    <row r="23" spans="1:11" ht="15.6">
      <c r="A23" s="13" t="s">
        <v>219</v>
      </c>
      <c r="B23" s="13" t="s">
        <v>211</v>
      </c>
      <c r="C23" s="20">
        <f t="shared" ref="C23:K23" si="6">C22*$E$1/1000</f>
        <v>5617.5</v>
      </c>
      <c r="D23" s="20">
        <f t="shared" si="6"/>
        <v>6366.5</v>
      </c>
      <c r="E23" s="20">
        <f t="shared" si="6"/>
        <v>7115.5</v>
      </c>
      <c r="F23" s="20">
        <f t="shared" si="6"/>
        <v>7864.5</v>
      </c>
      <c r="G23" s="20">
        <f t="shared" si="6"/>
        <v>8613.5</v>
      </c>
      <c r="H23" s="20">
        <f t="shared" si="6"/>
        <v>9362.5</v>
      </c>
      <c r="I23" s="20">
        <f t="shared" si="6"/>
        <v>10111.5</v>
      </c>
      <c r="J23" s="20">
        <f t="shared" si="6"/>
        <v>10860.5</v>
      </c>
      <c r="K23" s="20">
        <f t="shared" si="6"/>
        <v>11609.5</v>
      </c>
    </row>
    <row r="24" spans="1:11" ht="15.6">
      <c r="A24" s="14" t="s">
        <v>220</v>
      </c>
      <c r="B24" s="14"/>
      <c r="C24" s="21">
        <f t="shared" ref="C24:K24" si="7">C23/26</f>
        <v>216.05769230769232</v>
      </c>
      <c r="D24" s="21">
        <f t="shared" si="7"/>
        <v>244.86538461538461</v>
      </c>
      <c r="E24" s="21">
        <f t="shared" si="7"/>
        <v>273.67307692307691</v>
      </c>
      <c r="F24" s="21">
        <f t="shared" si="7"/>
        <v>302.48076923076923</v>
      </c>
      <c r="G24" s="21">
        <f t="shared" si="7"/>
        <v>331.28846153846155</v>
      </c>
      <c r="H24" s="21">
        <f t="shared" si="7"/>
        <v>360.09615384615387</v>
      </c>
      <c r="I24" s="21">
        <f t="shared" si="7"/>
        <v>388.90384615384613</v>
      </c>
      <c r="J24" s="21">
        <f t="shared" si="7"/>
        <v>417.71153846153845</v>
      </c>
      <c r="K24" s="21">
        <f t="shared" si="7"/>
        <v>446.51923076923077</v>
      </c>
    </row>
    <row r="25" spans="1:11">
      <c r="A25" s="11" t="s">
        <v>228</v>
      </c>
      <c r="B25" s="12"/>
      <c r="C25" s="18"/>
      <c r="D25" s="18"/>
      <c r="E25" s="18"/>
      <c r="F25" s="18"/>
      <c r="G25" s="18"/>
      <c r="H25" s="18"/>
      <c r="I25" s="18"/>
      <c r="J25" s="18"/>
      <c r="K25" s="18"/>
    </row>
    <row r="26" spans="1:11">
      <c r="A26" s="13" t="s">
        <v>218</v>
      </c>
      <c r="B26" s="13"/>
      <c r="C26" s="19">
        <v>1</v>
      </c>
      <c r="D26" s="19">
        <v>1.2</v>
      </c>
      <c r="E26" s="19">
        <v>1.4</v>
      </c>
      <c r="F26" s="19">
        <v>1.6</v>
      </c>
      <c r="G26" s="19">
        <v>1.8</v>
      </c>
      <c r="H26" s="19">
        <v>2</v>
      </c>
      <c r="I26" s="19">
        <v>2.2000000000000002</v>
      </c>
      <c r="J26" s="19">
        <v>2.4</v>
      </c>
      <c r="K26" s="19">
        <v>2.6</v>
      </c>
    </row>
    <row r="27" spans="1:11" ht="15.6">
      <c r="A27" s="13" t="s">
        <v>219</v>
      </c>
      <c r="B27" s="13" t="s">
        <v>212</v>
      </c>
      <c r="C27" s="20">
        <f t="shared" ref="C27:H27" si="8">C26*$E$1/1000</f>
        <v>3745</v>
      </c>
      <c r="D27" s="20">
        <f t="shared" si="8"/>
        <v>4494</v>
      </c>
      <c r="E27" s="20">
        <f t="shared" si="8"/>
        <v>5243</v>
      </c>
      <c r="F27" s="20">
        <f t="shared" si="8"/>
        <v>5992</v>
      </c>
      <c r="G27" s="20">
        <f t="shared" si="8"/>
        <v>6741</v>
      </c>
      <c r="H27" s="20">
        <f t="shared" si="8"/>
        <v>7490</v>
      </c>
      <c r="I27" s="20">
        <f>I26*$E$1/1000</f>
        <v>8239.0000000000018</v>
      </c>
      <c r="J27" s="20">
        <f>J26*$E$1/1000</f>
        <v>8988</v>
      </c>
      <c r="K27" s="20">
        <f>K26*$E$1/1000</f>
        <v>9737</v>
      </c>
    </row>
    <row r="28" spans="1:11" ht="15.6">
      <c r="A28" s="14" t="s">
        <v>220</v>
      </c>
      <c r="B28" s="14"/>
      <c r="C28" s="21">
        <f t="shared" ref="C28:H28" si="9">C27/26</f>
        <v>144.03846153846155</v>
      </c>
      <c r="D28" s="21">
        <f t="shared" si="9"/>
        <v>172.84615384615384</v>
      </c>
      <c r="E28" s="21">
        <f t="shared" si="9"/>
        <v>201.65384615384616</v>
      </c>
      <c r="F28" s="21">
        <f t="shared" si="9"/>
        <v>230.46153846153845</v>
      </c>
      <c r="G28" s="21">
        <f t="shared" si="9"/>
        <v>259.26923076923077</v>
      </c>
      <c r="H28" s="21">
        <f t="shared" si="9"/>
        <v>288.07692307692309</v>
      </c>
      <c r="I28" s="21">
        <f>I27/26</f>
        <v>316.88461538461547</v>
      </c>
      <c r="J28" s="21">
        <f>J27/26</f>
        <v>345.69230769230768</v>
      </c>
      <c r="K28" s="21">
        <f>K27/26</f>
        <v>374.5</v>
      </c>
    </row>
    <row r="29" spans="1:11">
      <c r="A29" s="11" t="s">
        <v>504</v>
      </c>
      <c r="B29" s="12"/>
      <c r="C29" s="18"/>
      <c r="D29" s="18"/>
      <c r="E29" s="18"/>
      <c r="F29" s="18"/>
      <c r="G29" s="18"/>
      <c r="H29" s="18"/>
      <c r="I29" s="18"/>
      <c r="J29" s="18"/>
      <c r="K29" s="18"/>
    </row>
    <row r="30" spans="1:11">
      <c r="A30" s="13" t="s">
        <v>218</v>
      </c>
      <c r="B30" s="13"/>
      <c r="C30" s="19">
        <v>1</v>
      </c>
      <c r="D30" s="19">
        <v>1.1000000000000001</v>
      </c>
      <c r="E30" s="19">
        <v>1.2</v>
      </c>
      <c r="F30" s="19">
        <v>1.3</v>
      </c>
      <c r="G30" s="19">
        <v>1.4</v>
      </c>
      <c r="H30" s="19">
        <v>1.5</v>
      </c>
      <c r="I30" s="19">
        <v>1.6</v>
      </c>
      <c r="J30" s="19">
        <v>1.7</v>
      </c>
      <c r="K30" s="19">
        <v>1.8</v>
      </c>
    </row>
    <row r="31" spans="1:11" ht="15.6">
      <c r="A31" s="13" t="s">
        <v>219</v>
      </c>
      <c r="B31" s="13" t="s">
        <v>233</v>
      </c>
      <c r="C31" s="20">
        <f t="shared" ref="C31:H31" si="10">C30*$E$1/1000</f>
        <v>3745</v>
      </c>
      <c r="D31" s="20">
        <f t="shared" si="10"/>
        <v>4119.5000000000009</v>
      </c>
      <c r="E31" s="20">
        <f t="shared" si="10"/>
        <v>4494</v>
      </c>
      <c r="F31" s="20">
        <f t="shared" si="10"/>
        <v>4868.5</v>
      </c>
      <c r="G31" s="20">
        <f t="shared" si="10"/>
        <v>5243</v>
      </c>
      <c r="H31" s="20">
        <f t="shared" si="10"/>
        <v>5617.5</v>
      </c>
      <c r="I31" s="20">
        <f>I30*$E$1/1000</f>
        <v>5992</v>
      </c>
      <c r="J31" s="20">
        <f>J30*$E$1/1000</f>
        <v>6366.5</v>
      </c>
      <c r="K31" s="20">
        <f>K30*$E$1/1000</f>
        <v>6741</v>
      </c>
    </row>
    <row r="32" spans="1:11" ht="15.6">
      <c r="A32" s="14" t="s">
        <v>220</v>
      </c>
      <c r="B32" s="14"/>
      <c r="C32" s="21">
        <f t="shared" ref="C32:H32" si="11">C31/26</f>
        <v>144.03846153846155</v>
      </c>
      <c r="D32" s="21">
        <f t="shared" si="11"/>
        <v>158.44230769230774</v>
      </c>
      <c r="E32" s="21">
        <f t="shared" si="11"/>
        <v>172.84615384615384</v>
      </c>
      <c r="F32" s="21">
        <f t="shared" si="11"/>
        <v>187.25</v>
      </c>
      <c r="G32" s="21">
        <f t="shared" si="11"/>
        <v>201.65384615384616</v>
      </c>
      <c r="H32" s="21">
        <f t="shared" si="11"/>
        <v>216.05769230769232</v>
      </c>
      <c r="I32" s="21">
        <f>I31/26</f>
        <v>230.46153846153845</v>
      </c>
      <c r="J32" s="21">
        <f>J31/26</f>
        <v>244.86538461538461</v>
      </c>
      <c r="K32" s="21">
        <f>K31/26</f>
        <v>259.26923076923077</v>
      </c>
    </row>
    <row r="33" spans="1:11">
      <c r="A33" s="11" t="s">
        <v>231</v>
      </c>
      <c r="B33" s="12"/>
      <c r="C33" s="18"/>
      <c r="D33" s="18"/>
      <c r="E33" s="18"/>
      <c r="F33" s="18"/>
      <c r="G33" s="18"/>
      <c r="H33" s="18"/>
      <c r="I33" s="18"/>
      <c r="J33" s="18"/>
      <c r="K33" s="18"/>
    </row>
    <row r="34" spans="1:11">
      <c r="A34" s="13" t="s">
        <v>218</v>
      </c>
      <c r="B34" s="13"/>
      <c r="C34" s="19">
        <v>1</v>
      </c>
      <c r="D34" s="19">
        <v>1.1000000000000001</v>
      </c>
      <c r="E34" s="19">
        <v>1.2</v>
      </c>
      <c r="F34" s="19">
        <v>1.3</v>
      </c>
      <c r="G34" s="19">
        <v>1.4</v>
      </c>
      <c r="H34" s="19">
        <v>1.5</v>
      </c>
      <c r="I34" s="19">
        <v>1.6</v>
      </c>
      <c r="J34" s="19">
        <v>1.7</v>
      </c>
      <c r="K34" s="19">
        <v>1.8</v>
      </c>
    </row>
    <row r="35" spans="1:11" ht="15.6">
      <c r="A35" s="13" t="s">
        <v>219</v>
      </c>
      <c r="B35" s="13" t="s">
        <v>234</v>
      </c>
      <c r="C35" s="20">
        <f t="shared" ref="C35:H35" si="12">C34*$E$1/1000</f>
        <v>3745</v>
      </c>
      <c r="D35" s="20">
        <f t="shared" si="12"/>
        <v>4119.5000000000009</v>
      </c>
      <c r="E35" s="20">
        <f t="shared" si="12"/>
        <v>4494</v>
      </c>
      <c r="F35" s="20">
        <f t="shared" si="12"/>
        <v>4868.5</v>
      </c>
      <c r="G35" s="20">
        <f t="shared" si="12"/>
        <v>5243</v>
      </c>
      <c r="H35" s="20">
        <f t="shared" si="12"/>
        <v>5617.5</v>
      </c>
      <c r="I35" s="20">
        <f>I34*$E$1/1000</f>
        <v>5992</v>
      </c>
      <c r="J35" s="20">
        <f>J34*$E$1/1000</f>
        <v>6366.5</v>
      </c>
      <c r="K35" s="20">
        <f>K34*$E$1/1000</f>
        <v>6741</v>
      </c>
    </row>
    <row r="36" spans="1:11" ht="15.6">
      <c r="A36" s="14" t="s">
        <v>220</v>
      </c>
      <c r="B36" s="14"/>
      <c r="C36" s="21">
        <f t="shared" ref="C36:H36" si="13">C35/26</f>
        <v>144.03846153846155</v>
      </c>
      <c r="D36" s="21">
        <f t="shared" si="13"/>
        <v>158.44230769230774</v>
      </c>
      <c r="E36" s="21">
        <f t="shared" si="13"/>
        <v>172.84615384615384</v>
      </c>
      <c r="F36" s="21">
        <f t="shared" si="13"/>
        <v>187.25</v>
      </c>
      <c r="G36" s="21">
        <f t="shared" si="13"/>
        <v>201.65384615384616</v>
      </c>
      <c r="H36" s="21">
        <f t="shared" si="13"/>
        <v>216.05769230769232</v>
      </c>
      <c r="I36" s="21">
        <f>I35/26</f>
        <v>230.46153846153845</v>
      </c>
      <c r="J36" s="21">
        <f>J35/26</f>
        <v>244.86538461538461</v>
      </c>
      <c r="K36" s="21">
        <f>K35/26</f>
        <v>259.26923076923077</v>
      </c>
    </row>
    <row r="37" spans="1:11" s="8" customFormat="1">
      <c r="A37" s="11" t="s">
        <v>224</v>
      </c>
      <c r="B37" s="12"/>
      <c r="C37" s="18"/>
      <c r="D37" s="18"/>
      <c r="E37" s="18"/>
      <c r="F37" s="18"/>
      <c r="G37" s="18"/>
      <c r="H37" s="18"/>
      <c r="I37" s="18"/>
      <c r="J37" s="18"/>
      <c r="K37" s="18"/>
    </row>
    <row r="38" spans="1:11" s="7" customFormat="1" ht="15.6">
      <c r="A38" s="13" t="s">
        <v>218</v>
      </c>
      <c r="B38" s="13"/>
      <c r="C38" s="19">
        <v>1</v>
      </c>
      <c r="D38" s="19">
        <v>1.05</v>
      </c>
      <c r="E38" s="19">
        <v>1.1000000000000001</v>
      </c>
      <c r="F38" s="19">
        <v>1.1499999999999999</v>
      </c>
      <c r="G38" s="19">
        <v>1.2</v>
      </c>
      <c r="H38" s="19">
        <v>1.25</v>
      </c>
      <c r="I38" s="19">
        <v>1.3</v>
      </c>
      <c r="J38" s="19">
        <v>1.35</v>
      </c>
      <c r="K38" s="19">
        <v>1.4</v>
      </c>
    </row>
    <row r="39" spans="1:11" s="7" customFormat="1" ht="15.6">
      <c r="A39" s="13" t="s">
        <v>219</v>
      </c>
      <c r="B39" s="13" t="s">
        <v>235</v>
      </c>
      <c r="C39" s="20">
        <f t="shared" ref="C39:K39" si="14">C38*$E$1/1000</f>
        <v>3745</v>
      </c>
      <c r="D39" s="20">
        <f t="shared" si="14"/>
        <v>3932.25</v>
      </c>
      <c r="E39" s="20">
        <f t="shared" si="14"/>
        <v>4119.5000000000009</v>
      </c>
      <c r="F39" s="20">
        <f t="shared" si="14"/>
        <v>4306.75</v>
      </c>
      <c r="G39" s="20">
        <f t="shared" si="14"/>
        <v>4494</v>
      </c>
      <c r="H39" s="20">
        <f t="shared" si="14"/>
        <v>4681.25</v>
      </c>
      <c r="I39" s="20">
        <f t="shared" si="14"/>
        <v>4868.5</v>
      </c>
      <c r="J39" s="20">
        <f t="shared" si="14"/>
        <v>5055.75</v>
      </c>
      <c r="K39" s="20">
        <f t="shared" si="14"/>
        <v>5243</v>
      </c>
    </row>
    <row r="40" spans="1:11" ht="15.6">
      <c r="A40" s="14" t="s">
        <v>220</v>
      </c>
      <c r="B40" s="14"/>
      <c r="C40" s="21">
        <f t="shared" ref="C40:K40" si="15">C39/26</f>
        <v>144.03846153846155</v>
      </c>
      <c r="D40" s="21">
        <f t="shared" si="15"/>
        <v>151.24038461538461</v>
      </c>
      <c r="E40" s="21">
        <f t="shared" si="15"/>
        <v>158.44230769230774</v>
      </c>
      <c r="F40" s="21">
        <f t="shared" si="15"/>
        <v>165.64423076923077</v>
      </c>
      <c r="G40" s="21">
        <f t="shared" si="15"/>
        <v>172.84615384615384</v>
      </c>
      <c r="H40" s="21">
        <f t="shared" si="15"/>
        <v>180.04807692307693</v>
      </c>
      <c r="I40" s="21">
        <f t="shared" si="15"/>
        <v>187.25</v>
      </c>
      <c r="J40" s="21">
        <f t="shared" si="15"/>
        <v>194.45192307692307</v>
      </c>
      <c r="K40" s="21">
        <f t="shared" si="15"/>
        <v>201.65384615384616</v>
      </c>
    </row>
    <row r="41" spans="1:11">
      <c r="A41" s="11" t="s">
        <v>225</v>
      </c>
      <c r="B41" s="12"/>
      <c r="C41" s="18"/>
      <c r="D41" s="18"/>
      <c r="E41" s="18"/>
      <c r="F41" s="18"/>
      <c r="G41" s="18"/>
      <c r="H41" s="18"/>
      <c r="I41" s="18"/>
      <c r="J41" s="18"/>
      <c r="K41" s="18"/>
    </row>
    <row r="42" spans="1:11">
      <c r="A42" s="13" t="s">
        <v>218</v>
      </c>
      <c r="B42" s="13"/>
      <c r="C42" s="19">
        <v>1</v>
      </c>
      <c r="D42" s="19">
        <v>1.05</v>
      </c>
      <c r="E42" s="19">
        <v>1.1000000000000001</v>
      </c>
      <c r="F42" s="19">
        <v>1.1499999999999999</v>
      </c>
      <c r="G42" s="19">
        <v>1.2</v>
      </c>
      <c r="H42" s="19">
        <v>1.25</v>
      </c>
      <c r="I42" s="19">
        <v>1.3</v>
      </c>
      <c r="J42" s="19">
        <v>1.35</v>
      </c>
      <c r="K42" s="19">
        <v>1.4</v>
      </c>
    </row>
    <row r="43" spans="1:11" ht="15.6">
      <c r="A43" s="13" t="s">
        <v>219</v>
      </c>
      <c r="B43" s="13" t="s">
        <v>236</v>
      </c>
      <c r="C43" s="20">
        <f t="shared" ref="C43:K43" si="16">C42*$E$1/1000</f>
        <v>3745</v>
      </c>
      <c r="D43" s="20">
        <f t="shared" si="16"/>
        <v>3932.25</v>
      </c>
      <c r="E43" s="20">
        <f t="shared" si="16"/>
        <v>4119.5000000000009</v>
      </c>
      <c r="F43" s="20">
        <f t="shared" si="16"/>
        <v>4306.75</v>
      </c>
      <c r="G43" s="20">
        <f t="shared" si="16"/>
        <v>4494</v>
      </c>
      <c r="H43" s="20">
        <f t="shared" si="16"/>
        <v>4681.25</v>
      </c>
      <c r="I43" s="20">
        <f t="shared" si="16"/>
        <v>4868.5</v>
      </c>
      <c r="J43" s="20">
        <f t="shared" si="16"/>
        <v>5055.75</v>
      </c>
      <c r="K43" s="20">
        <f t="shared" si="16"/>
        <v>5243</v>
      </c>
    </row>
    <row r="44" spans="1:11" ht="15.6">
      <c r="A44" s="14" t="s">
        <v>220</v>
      </c>
      <c r="B44" s="14"/>
      <c r="C44" s="21">
        <v>35</v>
      </c>
      <c r="D44" s="21">
        <v>38.5</v>
      </c>
      <c r="E44" s="21">
        <v>42</v>
      </c>
      <c r="F44" s="21">
        <v>45.5</v>
      </c>
      <c r="G44" s="21">
        <v>49</v>
      </c>
      <c r="H44" s="21">
        <v>52.5</v>
      </c>
      <c r="I44" s="21">
        <v>56</v>
      </c>
      <c r="J44" s="21">
        <v>59.5</v>
      </c>
      <c r="K44" s="21">
        <v>63</v>
      </c>
    </row>
  </sheetData>
  <mergeCells count="5">
    <mergeCell ref="A4:A5"/>
    <mergeCell ref="A15:A16"/>
    <mergeCell ref="E1:F1"/>
    <mergeCell ref="C4:K4"/>
    <mergeCell ref="C15:K15"/>
  </mergeCells>
  <pageMargins left="0.7" right="0.7" top="0.75" bottom="0.75" header="0.3" footer="0.3"/>
  <pageSetup paperSize="9" scale="6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I144"/>
  <sheetViews>
    <sheetView topLeftCell="A37" workbookViewId="0">
      <selection activeCell="E49" sqref="E49"/>
    </sheetView>
  </sheetViews>
  <sheetFormatPr defaultRowHeight="14.4"/>
  <cols>
    <col min="4" max="4" width="4.88671875" customWidth="1"/>
    <col min="5" max="5" width="19.33203125" customWidth="1"/>
    <col min="7" max="7" width="23.5546875" customWidth="1"/>
    <col min="9" max="9" width="10.109375" bestFit="1" customWidth="1"/>
  </cols>
  <sheetData>
    <row r="2" spans="1:2">
      <c r="A2" s="36">
        <v>1</v>
      </c>
      <c r="B2" s="36" t="s">
        <v>401</v>
      </c>
    </row>
    <row r="3" spans="1:2">
      <c r="B3" s="122" t="s">
        <v>405</v>
      </c>
    </row>
    <row r="4" spans="1:2">
      <c r="B4" s="122" t="s">
        <v>404</v>
      </c>
    </row>
    <row r="5" spans="1:2">
      <c r="B5" s="122" t="s">
        <v>403</v>
      </c>
    </row>
    <row r="6" spans="1:2">
      <c r="B6" s="122" t="s">
        <v>402</v>
      </c>
    </row>
    <row r="7" spans="1:2">
      <c r="B7" s="122" t="s">
        <v>409</v>
      </c>
    </row>
    <row r="8" spans="1:2">
      <c r="B8" s="122" t="s">
        <v>406</v>
      </c>
    </row>
    <row r="9" spans="1:2">
      <c r="B9" s="122" t="s">
        <v>407</v>
      </c>
    </row>
    <row r="10" spans="1:2">
      <c r="B10" s="122" t="s">
        <v>408</v>
      </c>
    </row>
    <row r="11" spans="1:2">
      <c r="B11" s="122" t="s">
        <v>410</v>
      </c>
    </row>
    <row r="12" spans="1:2">
      <c r="A12" s="36">
        <v>2</v>
      </c>
      <c r="B12" s="36" t="s">
        <v>229</v>
      </c>
    </row>
    <row r="13" spans="1:2">
      <c r="B13" s="122" t="s">
        <v>531</v>
      </c>
    </row>
    <row r="14" spans="1:2">
      <c r="A14" s="36">
        <v>3</v>
      </c>
      <c r="B14" s="36" t="s">
        <v>411</v>
      </c>
    </row>
    <row r="15" spans="1:2">
      <c r="B15" s="122" t="s">
        <v>413</v>
      </c>
    </row>
    <row r="16" spans="1:2">
      <c r="B16" s="122" t="s">
        <v>414</v>
      </c>
    </row>
    <row r="17" spans="1:9">
      <c r="B17" s="122" t="s">
        <v>415</v>
      </c>
    </row>
    <row r="18" spans="1:9">
      <c r="B18" s="122" t="s">
        <v>417</v>
      </c>
    </row>
    <row r="19" spans="1:9">
      <c r="C19" s="122" t="s">
        <v>524</v>
      </c>
    </row>
    <row r="20" spans="1:9">
      <c r="C20" s="122" t="s">
        <v>525</v>
      </c>
    </row>
    <row r="21" spans="1:9">
      <c r="C21" s="122" t="s">
        <v>526</v>
      </c>
    </row>
    <row r="22" spans="1:9">
      <c r="C22" s="122" t="s">
        <v>527</v>
      </c>
    </row>
    <row r="23" spans="1:9">
      <c r="C23" s="122" t="s">
        <v>418</v>
      </c>
    </row>
    <row r="24" spans="1:9">
      <c r="C24" s="122" t="s">
        <v>528</v>
      </c>
    </row>
    <row r="25" spans="1:9">
      <c r="C25" s="122" t="s">
        <v>419</v>
      </c>
    </row>
    <row r="26" spans="1:9">
      <c r="C26" s="122" t="s">
        <v>529</v>
      </c>
    </row>
    <row r="27" spans="1:9">
      <c r="C27" s="122" t="s">
        <v>530</v>
      </c>
    </row>
    <row r="28" spans="1:9">
      <c r="A28" s="36">
        <v>4</v>
      </c>
      <c r="B28" s="36" t="s">
        <v>420</v>
      </c>
      <c r="I28" s="74"/>
    </row>
    <row r="29" spans="1:9">
      <c r="B29" s="122" t="s">
        <v>422</v>
      </c>
    </row>
    <row r="30" spans="1:9">
      <c r="B30" s="122" t="s">
        <v>421</v>
      </c>
    </row>
    <row r="31" spans="1:9">
      <c r="B31" s="122" t="s">
        <v>423</v>
      </c>
    </row>
    <row r="32" spans="1:9">
      <c r="C32" t="s">
        <v>532</v>
      </c>
    </row>
    <row r="33" spans="1:9">
      <c r="A33" s="36">
        <v>5</v>
      </c>
      <c r="B33" s="36" t="s">
        <v>424</v>
      </c>
    </row>
    <row r="34" spans="1:9">
      <c r="B34" s="122" t="s">
        <v>426</v>
      </c>
    </row>
    <row r="35" spans="1:9">
      <c r="B35" s="122" t="s">
        <v>425</v>
      </c>
    </row>
    <row r="36" spans="1:9">
      <c r="A36" s="36">
        <v>6</v>
      </c>
      <c r="B36" s="123" t="s">
        <v>427</v>
      </c>
    </row>
    <row r="37" spans="1:9">
      <c r="B37" s="122" t="s">
        <v>429</v>
      </c>
    </row>
    <row r="38" spans="1:9">
      <c r="B38" s="122" t="s">
        <v>428</v>
      </c>
    </row>
    <row r="39" spans="1:9">
      <c r="B39" s="122" t="s">
        <v>430</v>
      </c>
    </row>
    <row r="40" spans="1:9">
      <c r="C40" s="123" t="s">
        <v>431</v>
      </c>
    </row>
    <row r="41" spans="1:9">
      <c r="C41" s="123" t="s">
        <v>432</v>
      </c>
    </row>
    <row r="42" spans="1:9">
      <c r="C42" s="123" t="s">
        <v>433</v>
      </c>
    </row>
    <row r="43" spans="1:9">
      <c r="A43" s="36">
        <v>7</v>
      </c>
      <c r="B43" s="36" t="s">
        <v>434</v>
      </c>
      <c r="I43" s="124"/>
    </row>
    <row r="44" spans="1:9">
      <c r="B44" t="s">
        <v>435</v>
      </c>
      <c r="C44" s="54" t="s">
        <v>371</v>
      </c>
      <c r="I44" s="124"/>
    </row>
    <row r="45" spans="1:9">
      <c r="C45" s="123" t="s">
        <v>459</v>
      </c>
    </row>
    <row r="46" spans="1:9">
      <c r="C46" s="123" t="s">
        <v>460</v>
      </c>
      <c r="E46" s="122" t="s">
        <v>522</v>
      </c>
    </row>
    <row r="47" spans="1:9">
      <c r="C47" s="123"/>
      <c r="E47" s="122" t="s">
        <v>523</v>
      </c>
    </row>
    <row r="48" spans="1:9">
      <c r="E48" s="122" t="s">
        <v>461</v>
      </c>
    </row>
    <row r="49" spans="2:5">
      <c r="E49" s="122" t="s">
        <v>462</v>
      </c>
    </row>
    <row r="50" spans="2:5">
      <c r="D50" s="125" t="s">
        <v>463</v>
      </c>
    </row>
    <row r="51" spans="2:5">
      <c r="B51" t="s">
        <v>436</v>
      </c>
      <c r="C51" t="s">
        <v>375</v>
      </c>
    </row>
    <row r="52" spans="2:5">
      <c r="C52" s="126" t="s">
        <v>470</v>
      </c>
      <c r="D52" s="126"/>
      <c r="E52" s="126"/>
    </row>
    <row r="53" spans="2:5">
      <c r="C53" s="126"/>
      <c r="D53" s="127" t="s">
        <v>464</v>
      </c>
      <c r="E53" s="126"/>
    </row>
    <row r="54" spans="2:5">
      <c r="C54" s="126"/>
      <c r="D54" s="127" t="s">
        <v>465</v>
      </c>
      <c r="E54" s="126"/>
    </row>
    <row r="55" spans="2:5">
      <c r="C55" s="126"/>
      <c r="D55" s="127" t="s">
        <v>466</v>
      </c>
      <c r="E55" s="126"/>
    </row>
    <row r="56" spans="2:5">
      <c r="C56" s="126"/>
      <c r="D56" s="127" t="s">
        <v>467</v>
      </c>
      <c r="E56" s="126"/>
    </row>
    <row r="57" spans="2:5">
      <c r="C57" s="126"/>
      <c r="D57" s="127" t="s">
        <v>469</v>
      </c>
      <c r="E57" s="126"/>
    </row>
    <row r="58" spans="2:5">
      <c r="C58" s="122" t="s">
        <v>468</v>
      </c>
    </row>
    <row r="59" spans="2:5">
      <c r="C59" s="122" t="s">
        <v>472</v>
      </c>
    </row>
    <row r="60" spans="2:5">
      <c r="C60" s="128" t="s">
        <v>208</v>
      </c>
      <c r="D60" s="130"/>
      <c r="E60" s="131">
        <v>5000000</v>
      </c>
    </row>
    <row r="61" spans="2:5">
      <c r="C61" s="128" t="s">
        <v>209</v>
      </c>
      <c r="D61" s="130"/>
      <c r="E61" s="131">
        <v>3000000</v>
      </c>
    </row>
    <row r="62" spans="2:5">
      <c r="C62" s="128" t="s">
        <v>210</v>
      </c>
      <c r="D62" s="130"/>
      <c r="E62" s="131">
        <v>2000000</v>
      </c>
    </row>
    <row r="63" spans="2:5">
      <c r="C63" s="128" t="s">
        <v>211</v>
      </c>
      <c r="D63" s="130"/>
      <c r="E63" s="131">
        <v>1000000</v>
      </c>
    </row>
    <row r="64" spans="2:5">
      <c r="C64" s="128" t="s">
        <v>212</v>
      </c>
      <c r="D64" s="130"/>
      <c r="E64" s="131">
        <v>1000000</v>
      </c>
    </row>
    <row r="65" spans="2:5">
      <c r="C65" s="128" t="s">
        <v>233</v>
      </c>
      <c r="D65" s="130"/>
      <c r="E65" s="131">
        <v>500000</v>
      </c>
    </row>
    <row r="66" spans="2:5">
      <c r="C66" s="128" t="s">
        <v>234</v>
      </c>
      <c r="D66" s="130"/>
      <c r="E66" s="131">
        <v>500000</v>
      </c>
    </row>
    <row r="67" spans="2:5">
      <c r="C67" s="128" t="s">
        <v>235</v>
      </c>
      <c r="D67" s="130"/>
      <c r="E67" s="131">
        <v>0</v>
      </c>
    </row>
    <row r="68" spans="2:5">
      <c r="C68" s="128" t="s">
        <v>236</v>
      </c>
      <c r="D68" s="130"/>
      <c r="E68" s="131">
        <v>0</v>
      </c>
    </row>
    <row r="69" spans="2:5">
      <c r="C69" s="122"/>
    </row>
    <row r="70" spans="2:5">
      <c r="B70" t="s">
        <v>437</v>
      </c>
      <c r="C70" t="s">
        <v>471</v>
      </c>
      <c r="E70" s="30"/>
    </row>
    <row r="71" spans="2:5">
      <c r="C71" s="122" t="s">
        <v>472</v>
      </c>
    </row>
    <row r="72" spans="2:5">
      <c r="C72" s="128" t="s">
        <v>208</v>
      </c>
      <c r="D72" s="130"/>
      <c r="E72" s="131">
        <v>3000000</v>
      </c>
    </row>
    <row r="73" spans="2:5">
      <c r="C73" s="128" t="s">
        <v>209</v>
      </c>
      <c r="D73" s="130"/>
      <c r="E73" s="131">
        <v>2000000</v>
      </c>
    </row>
    <row r="74" spans="2:5">
      <c r="C74" s="128" t="s">
        <v>210</v>
      </c>
      <c r="D74" s="130"/>
      <c r="E74" s="131">
        <v>1000000</v>
      </c>
    </row>
    <row r="75" spans="2:5">
      <c r="C75" s="128" t="s">
        <v>211</v>
      </c>
      <c r="D75" s="130"/>
      <c r="E75" s="131">
        <v>500000</v>
      </c>
    </row>
    <row r="76" spans="2:5">
      <c r="C76" s="128" t="s">
        <v>212</v>
      </c>
      <c r="D76" s="130"/>
      <c r="E76" s="131">
        <v>500000</v>
      </c>
    </row>
    <row r="77" spans="2:5">
      <c r="C77" s="128" t="s">
        <v>233</v>
      </c>
      <c r="D77" s="130"/>
      <c r="E77" s="131">
        <v>500000</v>
      </c>
    </row>
    <row r="78" spans="2:5">
      <c r="C78" s="128" t="s">
        <v>234</v>
      </c>
      <c r="D78" s="130"/>
      <c r="E78" s="131">
        <v>500000</v>
      </c>
    </row>
    <row r="79" spans="2:5">
      <c r="C79" s="128" t="s">
        <v>235</v>
      </c>
      <c r="D79" s="130"/>
      <c r="E79" s="131">
        <v>0</v>
      </c>
    </row>
    <row r="80" spans="2:5">
      <c r="C80" s="128" t="s">
        <v>236</v>
      </c>
      <c r="D80" s="130"/>
      <c r="E80" s="131">
        <v>0</v>
      </c>
    </row>
    <row r="81" spans="2:5">
      <c r="B81" t="s">
        <v>438</v>
      </c>
      <c r="C81" t="s">
        <v>473</v>
      </c>
      <c r="D81" s="129"/>
      <c r="E81" s="133"/>
    </row>
    <row r="82" spans="2:5">
      <c r="C82" s="122" t="s">
        <v>474</v>
      </c>
      <c r="D82" s="129"/>
      <c r="E82" s="133"/>
    </row>
    <row r="83" spans="2:5">
      <c r="C83" s="128" t="s">
        <v>208</v>
      </c>
      <c r="D83" s="130"/>
      <c r="E83" s="131">
        <v>3000000</v>
      </c>
    </row>
    <row r="84" spans="2:5">
      <c r="C84" s="128" t="s">
        <v>209</v>
      </c>
      <c r="D84" s="130"/>
      <c r="E84" s="131">
        <v>1000000</v>
      </c>
    </row>
    <row r="85" spans="2:5">
      <c r="C85" s="128" t="s">
        <v>210</v>
      </c>
      <c r="D85" s="130"/>
      <c r="E85" s="131">
        <v>1000000</v>
      </c>
    </row>
    <row r="86" spans="2:5">
      <c r="C86" s="128" t="s">
        <v>211</v>
      </c>
      <c r="D86" s="130"/>
      <c r="E86" s="131">
        <v>500000</v>
      </c>
    </row>
    <row r="87" spans="2:5">
      <c r="C87" s="128" t="s">
        <v>212</v>
      </c>
      <c r="D87" s="130"/>
      <c r="E87" s="131">
        <v>500000</v>
      </c>
    </row>
    <row r="88" spans="2:5">
      <c r="C88" s="128" t="s">
        <v>233</v>
      </c>
      <c r="D88" s="130"/>
      <c r="E88" s="131">
        <v>0</v>
      </c>
    </row>
    <row r="89" spans="2:5">
      <c r="C89" s="128" t="s">
        <v>234</v>
      </c>
      <c r="D89" s="130"/>
      <c r="E89" s="131">
        <v>0</v>
      </c>
    </row>
    <row r="90" spans="2:5">
      <c r="C90" s="128" t="s">
        <v>235</v>
      </c>
      <c r="D90" s="130"/>
      <c r="E90" s="131">
        <v>0</v>
      </c>
    </row>
    <row r="91" spans="2:5">
      <c r="C91" s="128" t="s">
        <v>236</v>
      </c>
      <c r="D91" s="130"/>
      <c r="E91" s="131">
        <v>0</v>
      </c>
    </row>
    <row r="92" spans="2:5">
      <c r="C92" s="134" t="s">
        <v>475</v>
      </c>
      <c r="D92" s="129"/>
      <c r="E92" s="133"/>
    </row>
    <row r="93" spans="2:5">
      <c r="B93" t="s">
        <v>439</v>
      </c>
      <c r="C93" t="s">
        <v>476</v>
      </c>
      <c r="D93" s="129"/>
      <c r="E93" s="133"/>
    </row>
    <row r="94" spans="2:5">
      <c r="C94" s="122" t="s">
        <v>472</v>
      </c>
      <c r="D94" s="129"/>
      <c r="E94" s="133"/>
    </row>
    <row r="95" spans="2:5">
      <c r="C95" s="128" t="s">
        <v>208</v>
      </c>
      <c r="D95" s="130"/>
      <c r="E95" s="131" t="s">
        <v>477</v>
      </c>
    </row>
    <row r="96" spans="2:5">
      <c r="C96" s="128" t="s">
        <v>209</v>
      </c>
      <c r="D96" s="130"/>
      <c r="E96" s="131" t="s">
        <v>477</v>
      </c>
    </row>
    <row r="97" spans="2:5">
      <c r="C97" s="128" t="s">
        <v>210</v>
      </c>
      <c r="D97" s="130"/>
      <c r="E97" s="131">
        <v>200000</v>
      </c>
    </row>
    <row r="98" spans="2:5">
      <c r="C98" s="128" t="s">
        <v>211</v>
      </c>
      <c r="D98" s="130"/>
      <c r="E98" s="131">
        <v>200000</v>
      </c>
    </row>
    <row r="99" spans="2:5">
      <c r="C99" s="128" t="s">
        <v>212</v>
      </c>
      <c r="D99" s="130"/>
      <c r="E99" s="131">
        <v>200000</v>
      </c>
    </row>
    <row r="100" spans="2:5">
      <c r="C100" s="128" t="s">
        <v>233</v>
      </c>
      <c r="D100" s="130"/>
      <c r="E100" s="131">
        <v>200000</v>
      </c>
    </row>
    <row r="101" spans="2:5">
      <c r="C101" s="128" t="s">
        <v>234</v>
      </c>
      <c r="D101" s="130"/>
      <c r="E101" s="131" t="s">
        <v>478</v>
      </c>
    </row>
    <row r="102" spans="2:5">
      <c r="C102" s="128" t="s">
        <v>235</v>
      </c>
      <c r="D102" s="130"/>
      <c r="E102" s="131">
        <v>0</v>
      </c>
    </row>
    <row r="103" spans="2:5">
      <c r="C103" s="128" t="s">
        <v>236</v>
      </c>
      <c r="D103" s="130"/>
      <c r="E103" s="131">
        <v>0</v>
      </c>
    </row>
    <row r="104" spans="2:5">
      <c r="B104" t="s">
        <v>439</v>
      </c>
      <c r="C104" t="s">
        <v>479</v>
      </c>
      <c r="D104" s="129"/>
      <c r="E104" s="133"/>
    </row>
    <row r="105" spans="2:5">
      <c r="C105" s="122" t="s">
        <v>472</v>
      </c>
      <c r="D105" s="129"/>
      <c r="E105" s="133"/>
    </row>
    <row r="106" spans="2:5">
      <c r="C106" s="128" t="s">
        <v>208</v>
      </c>
      <c r="D106" s="130"/>
      <c r="E106" s="131"/>
    </row>
    <row r="107" spans="2:5">
      <c r="C107" s="128" t="s">
        <v>209</v>
      </c>
      <c r="D107" s="130"/>
      <c r="E107" s="131"/>
    </row>
    <row r="108" spans="2:5">
      <c r="C108" s="128" t="s">
        <v>210</v>
      </c>
      <c r="D108" s="130"/>
      <c r="E108" s="131"/>
    </row>
    <row r="109" spans="2:5">
      <c r="C109" s="128" t="s">
        <v>211</v>
      </c>
      <c r="D109" s="130"/>
      <c r="E109" s="131"/>
    </row>
    <row r="110" spans="2:5">
      <c r="C110" s="128" t="s">
        <v>212</v>
      </c>
      <c r="D110" s="130"/>
      <c r="E110" s="131"/>
    </row>
    <row r="111" spans="2:5">
      <c r="C111" s="128" t="s">
        <v>233</v>
      </c>
      <c r="D111" s="130"/>
      <c r="E111" s="131"/>
    </row>
    <row r="112" spans="2:5">
      <c r="C112" s="128" t="s">
        <v>234</v>
      </c>
      <c r="D112" s="130"/>
      <c r="E112" s="131"/>
    </row>
    <row r="113" spans="1:5">
      <c r="C113" s="128" t="s">
        <v>235</v>
      </c>
      <c r="D113" s="130"/>
      <c r="E113" s="131"/>
    </row>
    <row r="114" spans="1:5">
      <c r="C114" s="128" t="s">
        <v>236</v>
      </c>
      <c r="D114" s="130"/>
      <c r="E114" s="131"/>
    </row>
    <row r="115" spans="1:5">
      <c r="A115" s="36">
        <v>8</v>
      </c>
      <c r="B115" s="36" t="s">
        <v>446</v>
      </c>
    </row>
    <row r="116" spans="1:5">
      <c r="B116" t="s">
        <v>440</v>
      </c>
      <c r="C116" t="s">
        <v>448</v>
      </c>
    </row>
    <row r="117" spans="1:5">
      <c r="C117" t="s">
        <v>441</v>
      </c>
    </row>
    <row r="118" spans="1:5">
      <c r="B118" t="s">
        <v>442</v>
      </c>
      <c r="C118" t="s">
        <v>449</v>
      </c>
    </row>
    <row r="119" spans="1:5">
      <c r="C119" t="s">
        <v>443</v>
      </c>
    </row>
    <row r="120" spans="1:5">
      <c r="B120" t="s">
        <v>444</v>
      </c>
      <c r="C120" t="s">
        <v>450</v>
      </c>
    </row>
    <row r="121" spans="1:5">
      <c r="C121" t="s">
        <v>445</v>
      </c>
    </row>
    <row r="122" spans="1:5">
      <c r="B122" t="s">
        <v>447</v>
      </c>
      <c r="C122" t="s">
        <v>451</v>
      </c>
    </row>
    <row r="123" spans="1:5">
      <c r="C123" t="s">
        <v>455</v>
      </c>
    </row>
    <row r="124" spans="1:5">
      <c r="C124" t="s">
        <v>456</v>
      </c>
    </row>
    <row r="125" spans="1:5">
      <c r="B125" t="s">
        <v>452</v>
      </c>
      <c r="C125" t="s">
        <v>453</v>
      </c>
    </row>
    <row r="126" spans="1:5">
      <c r="C126" t="s">
        <v>454</v>
      </c>
    </row>
    <row r="127" spans="1:5">
      <c r="B127" t="s">
        <v>457</v>
      </c>
      <c r="C127" t="s">
        <v>109</v>
      </c>
    </row>
    <row r="128" spans="1:5">
      <c r="C128" t="s">
        <v>458</v>
      </c>
    </row>
    <row r="129" spans="1:7">
      <c r="A129" s="36">
        <v>9</v>
      </c>
      <c r="B129" s="36" t="s">
        <v>481</v>
      </c>
    </row>
    <row r="130" spans="1:7">
      <c r="B130" t="s">
        <v>482</v>
      </c>
    </row>
    <row r="131" spans="1:7">
      <c r="C131" s="122" t="s">
        <v>483</v>
      </c>
    </row>
    <row r="132" spans="1:7">
      <c r="E132" s="128" t="s">
        <v>490</v>
      </c>
      <c r="F132" s="130" t="s">
        <v>484</v>
      </c>
      <c r="G132" s="131"/>
    </row>
    <row r="133" spans="1:7">
      <c r="E133" s="128" t="s">
        <v>486</v>
      </c>
      <c r="F133" s="130" t="s">
        <v>485</v>
      </c>
      <c r="G133" s="131"/>
    </row>
    <row r="134" spans="1:7">
      <c r="E134" s="128" t="s">
        <v>487</v>
      </c>
      <c r="F134" s="130" t="s">
        <v>485</v>
      </c>
      <c r="G134" s="131"/>
    </row>
    <row r="135" spans="1:7">
      <c r="E135" s="128" t="s">
        <v>488</v>
      </c>
      <c r="F135" s="130" t="s">
        <v>484</v>
      </c>
      <c r="G135" s="131"/>
    </row>
    <row r="136" spans="1:7">
      <c r="E136" s="132"/>
      <c r="F136" s="129"/>
      <c r="G136" s="133"/>
    </row>
    <row r="137" spans="1:7">
      <c r="E137" s="132"/>
      <c r="F137" s="129"/>
      <c r="G137" s="133"/>
    </row>
    <row r="138" spans="1:7">
      <c r="C138" t="s">
        <v>489</v>
      </c>
    </row>
    <row r="139" spans="1:7">
      <c r="C139" s="122" t="s">
        <v>491</v>
      </c>
    </row>
    <row r="140" spans="1:7">
      <c r="C140" s="122" t="s">
        <v>492</v>
      </c>
    </row>
    <row r="141" spans="1:7">
      <c r="C141" s="122" t="s">
        <v>493</v>
      </c>
    </row>
    <row r="142" spans="1:7">
      <c r="C142" s="122" t="s">
        <v>495</v>
      </c>
    </row>
    <row r="143" spans="1:7">
      <c r="C143" s="122" t="s">
        <v>494</v>
      </c>
    </row>
    <row r="144" spans="1:7">
      <c r="C144" t="s">
        <v>496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-0.249977111117893"/>
    <pageSetUpPr fitToPage="1"/>
  </sheetPr>
  <dimension ref="A1:AF60"/>
  <sheetViews>
    <sheetView zoomScale="70" zoomScaleNormal="70" workbookViewId="0">
      <pane xSplit="3" ySplit="4" topLeftCell="L29" activePane="bottomRight" state="frozen"/>
      <selection pane="topRight" activeCell="D1" sqref="D1"/>
      <selection pane="bottomLeft" activeCell="A6" sqref="A6"/>
      <selection pane="bottomRight" activeCell="AC47" sqref="AC47"/>
    </sheetView>
  </sheetViews>
  <sheetFormatPr defaultColWidth="9.109375" defaultRowHeight="13.8"/>
  <cols>
    <col min="1" max="1" width="5.109375" style="1" customWidth="1"/>
    <col min="2" max="2" width="7.88671875" style="1" customWidth="1"/>
    <col min="3" max="3" width="21.109375" style="1" customWidth="1"/>
    <col min="4" max="4" width="13.44140625" style="1" customWidth="1"/>
    <col min="5" max="5" width="13.109375" style="1" customWidth="1"/>
    <col min="6" max="6" width="7.6640625" style="1" customWidth="1"/>
    <col min="7" max="7" width="11.6640625" style="1" customWidth="1"/>
    <col min="8" max="8" width="8.109375" style="26" customWidth="1"/>
    <col min="9" max="9" width="6.5546875" style="26" bestFit="1" customWidth="1"/>
    <col min="10" max="10" width="11.33203125" style="31" customWidth="1"/>
    <col min="11" max="11" width="7.44140625" style="147" customWidth="1"/>
    <col min="12" max="12" width="10.33203125" style="31" bestFit="1" customWidth="1"/>
    <col min="13" max="16" width="7.44140625" style="31" customWidth="1"/>
    <col min="17" max="17" width="13.44140625" style="31" customWidth="1"/>
    <col min="18" max="18" width="11.109375" style="31" customWidth="1"/>
    <col min="19" max="19" width="12" style="31" customWidth="1"/>
    <col min="20" max="20" width="11.5546875" style="31" bestFit="1" customWidth="1"/>
    <col min="21" max="24" width="10.5546875" style="31" customWidth="1"/>
    <col min="25" max="25" width="15" style="31" bestFit="1" customWidth="1"/>
    <col min="26" max="26" width="12.44140625" style="31" bestFit="1" customWidth="1"/>
    <col min="27" max="27" width="13" style="31" customWidth="1"/>
    <col min="28" max="28" width="0.109375" style="31" hidden="1" customWidth="1"/>
    <col min="29" max="29" width="13.6640625" style="31" customWidth="1"/>
    <col min="30" max="30" width="9.109375" style="1"/>
    <col min="31" max="31" width="4.109375" style="31" customWidth="1"/>
    <col min="32" max="32" width="15.5546875" style="31" bestFit="1" customWidth="1"/>
    <col min="33" max="16384" width="9.109375" style="1"/>
  </cols>
  <sheetData>
    <row r="1" spans="1:32">
      <c r="A1" s="1" t="s">
        <v>536</v>
      </c>
    </row>
    <row r="2" spans="1:32" ht="20.399999999999999">
      <c r="A2" s="1" t="s">
        <v>537</v>
      </c>
      <c r="H2" s="1"/>
      <c r="J2" s="167" t="s">
        <v>557</v>
      </c>
      <c r="N2" s="167"/>
      <c r="Y2" s="31" t="s">
        <v>556</v>
      </c>
      <c r="AA2" s="212">
        <v>0.105</v>
      </c>
    </row>
    <row r="3" spans="1:32">
      <c r="G3" s="189">
        <f>3500000*107%</f>
        <v>3745000</v>
      </c>
      <c r="K3" s="190">
        <v>26</v>
      </c>
      <c r="L3" s="189"/>
      <c r="S3" s="189">
        <v>1</v>
      </c>
      <c r="T3" s="189">
        <v>300000</v>
      </c>
    </row>
    <row r="4" spans="1:32" s="5" customFormat="1" ht="46.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376</v>
      </c>
      <c r="F4" s="4" t="s">
        <v>377</v>
      </c>
      <c r="G4" s="4" t="s">
        <v>229</v>
      </c>
      <c r="H4" s="4" t="s">
        <v>217</v>
      </c>
      <c r="I4" s="4" t="s">
        <v>230</v>
      </c>
      <c r="J4" s="32" t="s">
        <v>538</v>
      </c>
      <c r="K4" s="169" t="s">
        <v>354</v>
      </c>
      <c r="L4" s="32" t="s">
        <v>534</v>
      </c>
      <c r="M4" s="32" t="s">
        <v>389</v>
      </c>
      <c r="N4" s="32" t="s">
        <v>357</v>
      </c>
      <c r="O4" s="32" t="s">
        <v>387</v>
      </c>
      <c r="P4" s="32" t="s">
        <v>388</v>
      </c>
      <c r="Q4" s="32" t="s">
        <v>533</v>
      </c>
      <c r="R4" s="32" t="s">
        <v>535</v>
      </c>
      <c r="S4" s="32" t="s">
        <v>370</v>
      </c>
      <c r="T4" s="32" t="s">
        <v>371</v>
      </c>
      <c r="U4" s="32" t="s">
        <v>375</v>
      </c>
      <c r="V4" s="32" t="s">
        <v>372</v>
      </c>
      <c r="W4" s="32" t="s">
        <v>373</v>
      </c>
      <c r="X4" s="32" t="s">
        <v>374</v>
      </c>
      <c r="Y4" s="32" t="s">
        <v>237</v>
      </c>
      <c r="Z4" s="32" t="s">
        <v>545</v>
      </c>
      <c r="AA4" s="32" t="s">
        <v>544</v>
      </c>
      <c r="AB4" s="32" t="s">
        <v>546</v>
      </c>
      <c r="AC4" s="32" t="s">
        <v>546</v>
      </c>
      <c r="AD4" s="191" t="s">
        <v>552</v>
      </c>
      <c r="AE4" s="213"/>
      <c r="AF4" s="213" t="s">
        <v>555</v>
      </c>
    </row>
    <row r="5" spans="1:32" s="176" customFormat="1">
      <c r="A5" s="171" t="s">
        <v>14</v>
      </c>
      <c r="B5" s="171"/>
      <c r="C5" s="171" t="s">
        <v>15</v>
      </c>
      <c r="D5" s="171"/>
      <c r="E5" s="171"/>
      <c r="F5" s="171"/>
      <c r="G5" s="172"/>
      <c r="H5" s="173"/>
      <c r="I5" s="173"/>
      <c r="J5" s="174"/>
      <c r="K5" s="186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 t="e">
        <f ca="1">SUM(Y6:Y9)</f>
        <v>#N/A</v>
      </c>
      <c r="Z5" s="174" t="e">
        <f>SUM(Z6:Z9)</f>
        <v>#REF!</v>
      </c>
      <c r="AA5" s="174">
        <f>SUM(AA6:AA9)</f>
        <v>1125600</v>
      </c>
      <c r="AB5" s="174" t="e">
        <f ca="1">SUM(AB6:AB9)</f>
        <v>#N/A</v>
      </c>
      <c r="AC5" s="174" t="e">
        <f ca="1">SUM(AC6:AC9)</f>
        <v>#N/A</v>
      </c>
      <c r="AD5" s="192"/>
      <c r="AE5" s="214"/>
      <c r="AF5" s="214"/>
    </row>
    <row r="6" spans="1:32" ht="21" customHeight="1">
      <c r="A6" s="3">
        <v>1</v>
      </c>
      <c r="B6" s="3" t="s">
        <v>162</v>
      </c>
      <c r="C6" s="3" t="s">
        <v>62</v>
      </c>
      <c r="D6" s="3" t="s">
        <v>201</v>
      </c>
      <c r="E6" s="110">
        <v>38078</v>
      </c>
      <c r="F6" s="111">
        <f t="shared" ref="F6:F47" ca="1" si="0">IF(E6=0,0,INT((NOW()-E6)/365))</f>
        <v>15</v>
      </c>
      <c r="G6" s="22">
        <f t="shared" ref="G6:G23" si="1">$G$3</f>
        <v>3745000</v>
      </c>
      <c r="H6" s="28" t="s">
        <v>210</v>
      </c>
      <c r="I6" s="28">
        <v>1</v>
      </c>
      <c r="J6" s="22">
        <f>SUMIFS(Sheet2!$C$1:$C$81,Sheet2!$A$1:$A$81,'Bang luong'!H6,Sheet2!$B$1:$B$81,'Bang luong'!I6)*1000</f>
        <v>6366500</v>
      </c>
      <c r="K6" s="77" t="e">
        <f>VLOOKUP(C6,CC!$C$5:$AJ$67,34,0)</f>
        <v>#N/A</v>
      </c>
      <c r="L6" s="22" t="e">
        <f>J6/26*K6</f>
        <v>#N/A</v>
      </c>
      <c r="M6" s="22" t="e">
        <f>VLOOKUP(C6,CC!$C$5:$AM$67,36,0)</f>
        <v>#N/A</v>
      </c>
      <c r="N6" s="22" t="e">
        <f>VLOOKUP(C6,CC!$C$5:$BS$67,69,0)</f>
        <v>#N/A</v>
      </c>
      <c r="O6" s="22" t="e">
        <f>VLOOKUP(C6,CC!$C$5:$BT$67,70,0)</f>
        <v>#N/A</v>
      </c>
      <c r="P6" s="22" t="e">
        <f>VLOOKUP(C6,CC!$C$5:$AM$67,37,0)</f>
        <v>#N/A</v>
      </c>
      <c r="Q6" s="22" t="e">
        <f>((J6/26)*K6)+(M6*(J6/26))+((N6/8)*1.5*(J6/26))+((O6/8)*2*J6/26)+(P6*3*(J6/26))</f>
        <v>#N/A</v>
      </c>
      <c r="R6" s="22"/>
      <c r="S6" s="22">
        <f ca="1">IF((F6-$S$3)&gt;0,F6%*J6,0)</f>
        <v>954975</v>
      </c>
      <c r="T6" s="22">
        <f ca="1">(100%-SUMIF('chuyên cần'!$C$6:$AP$31,'Bang luong'!C6,'chuyên cần'!$AP$7:$AP$31))*$T$3</f>
        <v>300000</v>
      </c>
      <c r="U6" s="22">
        <v>2000000</v>
      </c>
      <c r="V6" s="22">
        <v>1000000</v>
      </c>
      <c r="W6" s="22">
        <v>500000</v>
      </c>
      <c r="X6" s="22">
        <v>200000</v>
      </c>
      <c r="Y6" s="106" t="e">
        <f ca="1">Q6+R6+S6+T6+U6+V6+W6+X6</f>
        <v>#N/A</v>
      </c>
      <c r="Z6" s="106" t="e">
        <f>'ung luong'!#REF!</f>
        <v>#REF!</v>
      </c>
      <c r="AA6" s="106">
        <f>AF6*$AA$2</f>
        <v>422100</v>
      </c>
      <c r="AB6" s="106" t="e">
        <f ca="1">Y6-Z6-AA6</f>
        <v>#N/A</v>
      </c>
      <c r="AC6" s="106" t="e">
        <f ca="1">ROUND(AB6,-3)</f>
        <v>#N/A</v>
      </c>
      <c r="AD6" s="193"/>
      <c r="AF6" s="31">
        <v>4020000</v>
      </c>
    </row>
    <row r="7" spans="1:32" ht="21" customHeight="1">
      <c r="A7" s="3">
        <v>2</v>
      </c>
      <c r="B7" s="3" t="s">
        <v>163</v>
      </c>
      <c r="C7" s="3" t="s">
        <v>63</v>
      </c>
      <c r="D7" s="3" t="s">
        <v>202</v>
      </c>
      <c r="E7" s="110">
        <v>40868</v>
      </c>
      <c r="F7" s="111">
        <f t="shared" ca="1" si="0"/>
        <v>7</v>
      </c>
      <c r="G7" s="22">
        <f t="shared" si="1"/>
        <v>3745000</v>
      </c>
      <c r="H7" s="28" t="s">
        <v>211</v>
      </c>
      <c r="I7" s="28">
        <v>2</v>
      </c>
      <c r="J7" s="22">
        <f>SUMIFS(Sheet2!$C$1:$C$81,Sheet2!$A$1:$A$81,'Bang luong'!H7,Sheet2!$B$1:$B$81,'Bang luong'!I7)*1000</f>
        <v>6366500</v>
      </c>
      <c r="K7" s="77" t="e">
        <f>VLOOKUP(C7,CC!$C$5:$AJ$67,34,0)</f>
        <v>#N/A</v>
      </c>
      <c r="L7" s="22" t="e">
        <f t="shared" ref="L7:L49" si="2">J7/26*K7</f>
        <v>#N/A</v>
      </c>
      <c r="M7" s="22" t="e">
        <f>VLOOKUP(C7,CC!$C$5:$AM$67,36,0)</f>
        <v>#N/A</v>
      </c>
      <c r="N7" s="22" t="e">
        <f>VLOOKUP(C7,CC!$C$5:$BS$67,69,0)</f>
        <v>#N/A</v>
      </c>
      <c r="O7" s="22" t="e">
        <f>VLOOKUP(C7,CC!$C$5:$BT$67,70,0)</f>
        <v>#N/A</v>
      </c>
      <c r="P7" s="22" t="e">
        <f>VLOOKUP(C7,CC!$C$5:$AM$67,37,0)</f>
        <v>#N/A</v>
      </c>
      <c r="Q7" s="22" t="e">
        <f>((J7/26)*K7)+(M7*(J7/26))+((N7/8)*1.5*(J7/26))+((O7/8)*2*J7/26)+(P7*3*(J7/26))</f>
        <v>#N/A</v>
      </c>
      <c r="R7" s="22"/>
      <c r="S7" s="22">
        <f ca="1">IF((F7-$S$3)&gt;0,F7%*J7,0)</f>
        <v>445655.00000000006</v>
      </c>
      <c r="T7" s="22">
        <f ca="1">(100%-SUMIF('chuyên cần'!$C$6:$AP$31,'Bang luong'!C7,'chuyên cần'!$AP$7:$AP$31))*$T$3</f>
        <v>300000</v>
      </c>
      <c r="U7" s="22">
        <v>1000000</v>
      </c>
      <c r="V7" s="22">
        <v>500000</v>
      </c>
      <c r="W7" s="22">
        <v>500000</v>
      </c>
      <c r="X7" s="22">
        <v>200000</v>
      </c>
      <c r="Y7" s="106" t="e">
        <f t="shared" ref="Y7:Y16" ca="1" si="3">Q7+R7+S7+T7+U7+V7+W7+X7</f>
        <v>#N/A</v>
      </c>
      <c r="Z7" s="106" t="e">
        <f>'ung luong'!#REF!</f>
        <v>#REF!</v>
      </c>
      <c r="AA7" s="106">
        <f t="shared" ref="AA7:AA51" si="4">AF7*$AA$2</f>
        <v>351750</v>
      </c>
      <c r="AB7" s="106" t="e">
        <f t="shared" ref="AB7:AB49" ca="1" si="5">Y7-Z7-AA7</f>
        <v>#N/A</v>
      </c>
      <c r="AC7" s="106" t="e">
        <f t="shared" ref="AC7:AC49" ca="1" si="6">ROUND(AB7,-3)</f>
        <v>#N/A</v>
      </c>
      <c r="AD7" s="193"/>
      <c r="AF7" s="31">
        <v>3350000</v>
      </c>
    </row>
    <row r="8" spans="1:32" ht="21" customHeight="1">
      <c r="A8" s="3">
        <v>3</v>
      </c>
      <c r="B8" s="3" t="s">
        <v>164</v>
      </c>
      <c r="C8" s="3" t="s">
        <v>64</v>
      </c>
      <c r="D8" s="3" t="s">
        <v>103</v>
      </c>
      <c r="E8" s="110">
        <v>41715</v>
      </c>
      <c r="F8" s="111">
        <f t="shared" ca="1" si="0"/>
        <v>5</v>
      </c>
      <c r="G8" s="22">
        <f t="shared" si="1"/>
        <v>3745000</v>
      </c>
      <c r="H8" s="28" t="s">
        <v>234</v>
      </c>
      <c r="I8" s="28">
        <v>4</v>
      </c>
      <c r="J8" s="22">
        <f>SUMIFS(Sheet2!$C$1:$C$81,Sheet2!$A$1:$A$81,'Bang luong'!H8,Sheet2!$B$1:$B$81,'Bang luong'!I8)*1000</f>
        <v>4868500</v>
      </c>
      <c r="K8" s="77" t="e">
        <f>VLOOKUP(C8,CC!$C$5:$AJ$67,34,0)</f>
        <v>#N/A</v>
      </c>
      <c r="L8" s="22" t="e">
        <f>J8/26*K8</f>
        <v>#N/A</v>
      </c>
      <c r="M8" s="22" t="e">
        <f>VLOOKUP(C8,CC!$C$5:$AM$67,36,0)</f>
        <v>#N/A</v>
      </c>
      <c r="N8" s="22" t="e">
        <f>VLOOKUP(C8,CC!$C$5:$BS$67,69,0)</f>
        <v>#N/A</v>
      </c>
      <c r="O8" s="22" t="e">
        <f>VLOOKUP(C8,CC!$C$5:$BT$67,70,0)</f>
        <v>#N/A</v>
      </c>
      <c r="P8" s="22" t="e">
        <f>VLOOKUP(C8,CC!$C$5:$AM$67,37,0)</f>
        <v>#N/A</v>
      </c>
      <c r="Q8" s="22" t="e">
        <f>((J8/26)*K8)+(M8*(J8/26))+((N8/8)*1.5*(J8/26))+((O8/8)*2*J8/26)+(P8*3*(J8/26))</f>
        <v>#N/A</v>
      </c>
      <c r="R8" s="22"/>
      <c r="S8" s="22">
        <f ca="1">IF((F8-$S$3)&gt;0,F8%*J8,0)</f>
        <v>243425</v>
      </c>
      <c r="T8" s="22">
        <f ca="1">(100%-SUMIF('chuyên cần'!$C$6:$AP$31,'Bang luong'!C8,'chuyên cần'!$AP$7:$AP$31))*$T$3</f>
        <v>300000</v>
      </c>
      <c r="U8" s="22">
        <v>500000</v>
      </c>
      <c r="V8" s="22">
        <v>500000</v>
      </c>
      <c r="W8" s="22"/>
      <c r="X8" s="22">
        <v>200000</v>
      </c>
      <c r="Y8" s="106" t="e">
        <f t="shared" ca="1" si="3"/>
        <v>#N/A</v>
      </c>
      <c r="Z8" s="106" t="e">
        <f>'ung luong'!#REF!</f>
        <v>#REF!</v>
      </c>
      <c r="AA8" s="106">
        <f t="shared" si="4"/>
        <v>351750</v>
      </c>
      <c r="AB8" s="106" t="e">
        <f t="shared" ca="1" si="5"/>
        <v>#N/A</v>
      </c>
      <c r="AC8" s="106" t="e">
        <f t="shared" ca="1" si="6"/>
        <v>#N/A</v>
      </c>
      <c r="AD8" s="193"/>
      <c r="AF8" s="31">
        <v>3350000</v>
      </c>
    </row>
    <row r="9" spans="1:32" ht="21" customHeight="1">
      <c r="A9" s="3">
        <v>4</v>
      </c>
      <c r="B9" s="3" t="s">
        <v>165</v>
      </c>
      <c r="C9" s="3" t="s">
        <v>65</v>
      </c>
      <c r="D9" s="3" t="s">
        <v>203</v>
      </c>
      <c r="E9" s="110">
        <v>42086</v>
      </c>
      <c r="F9" s="111">
        <f t="shared" ca="1" si="0"/>
        <v>4</v>
      </c>
      <c r="G9" s="22">
        <f t="shared" si="1"/>
        <v>3745000</v>
      </c>
      <c r="H9" s="28" t="s">
        <v>234</v>
      </c>
      <c r="I9" s="28">
        <v>1</v>
      </c>
      <c r="J9" s="22">
        <f>SUMIFS(Sheet2!$C$1:$C$81,Sheet2!$A$1:$A$81,'Bang luong'!H9,Sheet2!$B$1:$B$81,'Bang luong'!I9)*1000</f>
        <v>3745000</v>
      </c>
      <c r="K9" s="77">
        <f>VLOOKUP(C9,CC!$C$5:$AJ$67,34,0)</f>
        <v>27</v>
      </c>
      <c r="L9" s="22">
        <f t="shared" si="2"/>
        <v>3889038.4615384615</v>
      </c>
      <c r="M9" s="22">
        <f>VLOOKUP(C9,CC!$C$5:$AM$67,36,0)</f>
        <v>0</v>
      </c>
      <c r="N9" s="22">
        <f>VLOOKUP(C9,CC!$C$5:$BS$67,69,0)</f>
        <v>0</v>
      </c>
      <c r="O9" s="22">
        <f>VLOOKUP(C9,CC!$C$5:$BT$67,70,0)</f>
        <v>0</v>
      </c>
      <c r="P9" s="22">
        <f>VLOOKUP(C9,CC!$C$5:$AM$67,37,0)</f>
        <v>0</v>
      </c>
      <c r="Q9" s="22">
        <f>((J9/26)*K9)+(M9*(J9/26))+((N9/8)*1.5*(J9/26))+((O9/8)*2*J9/26)+(P9*3*(J9/26))</f>
        <v>3889038.4615384615</v>
      </c>
      <c r="R9" s="22"/>
      <c r="S9" s="22">
        <f ca="1">IF((F9-$S$3)&gt;0,F9%*J9,0)</f>
        <v>149800</v>
      </c>
      <c r="T9" s="22">
        <f ca="1">(100%-SUMIF('chuyên cần'!$C$6:$AP$31,'Bang luong'!C9,'chuyên cần'!$AP$7:$AP$31))*$T$3</f>
        <v>300000</v>
      </c>
      <c r="U9" s="22">
        <v>500000</v>
      </c>
      <c r="V9" s="22">
        <v>500000</v>
      </c>
      <c r="W9" s="22"/>
      <c r="X9" s="22">
        <v>200000</v>
      </c>
      <c r="Y9" s="106">
        <f t="shared" ca="1" si="3"/>
        <v>5538838.461538462</v>
      </c>
      <c r="Z9" s="106" t="e">
        <f>'ung luong'!#REF!</f>
        <v>#REF!</v>
      </c>
      <c r="AA9" s="106">
        <f t="shared" si="4"/>
        <v>0</v>
      </c>
      <c r="AB9" s="106" t="e">
        <f t="shared" ca="1" si="5"/>
        <v>#REF!</v>
      </c>
      <c r="AC9" s="106" t="e">
        <f t="shared" ca="1" si="6"/>
        <v>#REF!</v>
      </c>
      <c r="AD9" s="193"/>
    </row>
    <row r="10" spans="1:32" s="176" customFormat="1" ht="21" customHeight="1">
      <c r="A10" s="171"/>
      <c r="B10" s="171"/>
      <c r="C10" s="171" t="s">
        <v>361</v>
      </c>
      <c r="D10" s="171"/>
      <c r="E10" s="171"/>
      <c r="F10" s="171"/>
      <c r="G10" s="172"/>
      <c r="H10" s="173"/>
      <c r="I10" s="173"/>
      <c r="J10" s="174"/>
      <c r="K10" s="187"/>
      <c r="L10" s="175"/>
      <c r="M10" s="175"/>
      <c r="N10" s="175"/>
      <c r="O10" s="175"/>
      <c r="P10" s="175"/>
      <c r="Q10" s="174"/>
      <c r="R10" s="174"/>
      <c r="S10" s="174"/>
      <c r="T10" s="172"/>
      <c r="U10" s="174"/>
      <c r="V10" s="174"/>
      <c r="W10" s="174"/>
      <c r="X10" s="174"/>
      <c r="Y10" s="174" t="e">
        <f ca="1">SUM(Y11:Y12)</f>
        <v>#N/A</v>
      </c>
      <c r="Z10" s="174" t="e">
        <f>SUM(Z11:Z12)</f>
        <v>#REF!</v>
      </c>
      <c r="AA10" s="174">
        <f>SUM(AA11:AA12)</f>
        <v>422100</v>
      </c>
      <c r="AB10" s="174" t="e">
        <f ca="1">SUM(AB11:AB12)</f>
        <v>#N/A</v>
      </c>
      <c r="AC10" s="174" t="e">
        <f ca="1">SUM(AC11:AC12)</f>
        <v>#N/A</v>
      </c>
      <c r="AD10" s="192"/>
      <c r="AE10" s="31"/>
      <c r="AF10" s="214"/>
    </row>
    <row r="11" spans="1:32" ht="21" customHeight="1">
      <c r="A11" s="3">
        <v>5</v>
      </c>
      <c r="B11" s="3" t="s">
        <v>166</v>
      </c>
      <c r="C11" s="3" t="s">
        <v>36</v>
      </c>
      <c r="D11" s="3" t="s">
        <v>364</v>
      </c>
      <c r="E11" s="110">
        <v>40651</v>
      </c>
      <c r="F11" s="111">
        <f t="shared" ca="1" si="0"/>
        <v>8</v>
      </c>
      <c r="G11" s="22">
        <f t="shared" si="1"/>
        <v>3745000</v>
      </c>
      <c r="H11" s="28" t="s">
        <v>211</v>
      </c>
      <c r="I11" s="28">
        <v>3</v>
      </c>
      <c r="J11" s="22">
        <f>SUMIFS(Sheet2!$C$1:$C$81,Sheet2!$A$1:$A$81,'Bang luong'!H11,Sheet2!$B$1:$B$81,'Bang luong'!I11)*1000</f>
        <v>7115500</v>
      </c>
      <c r="K11" s="77" t="e">
        <f>VLOOKUP(C11,CC!$C$5:$AJ$67,34,0)</f>
        <v>#N/A</v>
      </c>
      <c r="L11" s="22" t="e">
        <f t="shared" si="2"/>
        <v>#N/A</v>
      </c>
      <c r="M11" s="22" t="e">
        <f>VLOOKUP(C11,CC!$C$5:$AM$67,36,0)</f>
        <v>#N/A</v>
      </c>
      <c r="N11" s="22" t="e">
        <f>VLOOKUP(C11,CC!$C$5:$BS$67,69,0)</f>
        <v>#N/A</v>
      </c>
      <c r="O11" s="22" t="e">
        <f>VLOOKUP(C11,CC!$C$5:$BT$67,70,0)</f>
        <v>#N/A</v>
      </c>
      <c r="P11" s="22" t="e">
        <f>VLOOKUP(C11,CC!$C$5:$AM$67,37,0)</f>
        <v>#N/A</v>
      </c>
      <c r="Q11" s="22" t="e">
        <f>((J11/26)*K11)+(M11*(J11/26))+((N11/8)*1.5*(J11/26))+((O11/8)*2*J11/26)+(P11*3*(J11/26))</f>
        <v>#N/A</v>
      </c>
      <c r="R11" s="22"/>
      <c r="S11" s="22">
        <f ca="1">IF((F11-$S$3)&gt;0,F11%*J11,0)</f>
        <v>569240</v>
      </c>
      <c r="T11" s="22">
        <f ca="1">(100%-SUMIF('chuyên cần'!$C$6:$AP$31,'Bang luong'!C11,'chuyên cần'!$AP$7:$AP$31))*$T$3</f>
        <v>300000</v>
      </c>
      <c r="U11" s="22">
        <v>1000000</v>
      </c>
      <c r="V11" s="22">
        <v>500000</v>
      </c>
      <c r="W11" s="22">
        <v>500000</v>
      </c>
      <c r="X11" s="22">
        <v>200000</v>
      </c>
      <c r="Y11" s="106" t="e">
        <f t="shared" ca="1" si="3"/>
        <v>#N/A</v>
      </c>
      <c r="Z11" s="106" t="e">
        <f>'ung luong'!#REF!</f>
        <v>#REF!</v>
      </c>
      <c r="AA11" s="106">
        <f t="shared" si="4"/>
        <v>422100</v>
      </c>
      <c r="AB11" s="106" t="e">
        <f t="shared" ca="1" si="5"/>
        <v>#N/A</v>
      </c>
      <c r="AC11" s="106" t="e">
        <f t="shared" ca="1" si="6"/>
        <v>#N/A</v>
      </c>
      <c r="AD11" s="193"/>
      <c r="AF11" s="31">
        <v>4020000</v>
      </c>
    </row>
    <row r="12" spans="1:32" ht="21" customHeight="1">
      <c r="A12" s="3">
        <v>6</v>
      </c>
      <c r="B12" s="3" t="s">
        <v>167</v>
      </c>
      <c r="C12" s="3" t="s">
        <v>362</v>
      </c>
      <c r="D12" s="3" t="s">
        <v>363</v>
      </c>
      <c r="E12" s="110"/>
      <c r="F12" s="111">
        <f t="shared" ca="1" si="0"/>
        <v>0</v>
      </c>
      <c r="G12" s="22">
        <f t="shared" si="1"/>
        <v>3745000</v>
      </c>
      <c r="H12" s="28" t="s">
        <v>234</v>
      </c>
      <c r="I12" s="28">
        <v>1</v>
      </c>
      <c r="J12" s="22">
        <f>SUMIFS(Sheet2!$C$1:$C$81,Sheet2!$A$1:$A$81,'Bang luong'!H12,Sheet2!$B$1:$B$81,'Bang luong'!I12)*1000</f>
        <v>3745000</v>
      </c>
      <c r="K12" s="77" t="e">
        <f>VLOOKUP(C12,CC!$C$5:$AJ$67,34,0)</f>
        <v>#N/A</v>
      </c>
      <c r="L12" s="22" t="e">
        <f t="shared" si="2"/>
        <v>#N/A</v>
      </c>
      <c r="M12" s="22" t="e">
        <f>VLOOKUP(C12,CC!$C$5:$AM$67,36,0)</f>
        <v>#N/A</v>
      </c>
      <c r="N12" s="22" t="e">
        <f>VLOOKUP(C12,CC!$C$5:$BS$67,69,0)</f>
        <v>#N/A</v>
      </c>
      <c r="O12" s="22" t="e">
        <f>VLOOKUP(C12,CC!$C$5:$BT$67,70,0)</f>
        <v>#N/A</v>
      </c>
      <c r="P12" s="22" t="e">
        <f>VLOOKUP(C12,CC!$C$5:$AM$67,37,0)</f>
        <v>#N/A</v>
      </c>
      <c r="Q12" s="22" t="e">
        <f>((J12/26)*K12)+(M12*(J12/26))+((N12/8)*1.5*(J12/26))+((O12/8)*2*J12/26)+(P12*3*(J12/26))</f>
        <v>#N/A</v>
      </c>
      <c r="R12" s="22"/>
      <c r="S12" s="22">
        <f ca="1">IF((F12-$S$3)&gt;0,F12%*J12,0)</f>
        <v>0</v>
      </c>
      <c r="T12" s="22">
        <f ca="1">(100%-SUMIF('chuyên cần'!$C$6:$AP$31,'Bang luong'!C12,'chuyên cần'!$AP$7:$AP$31))*$T$3</f>
        <v>300000</v>
      </c>
      <c r="U12" s="22">
        <v>500000</v>
      </c>
      <c r="V12" s="22">
        <v>500000</v>
      </c>
      <c r="W12" s="22"/>
      <c r="X12" s="22">
        <v>200000</v>
      </c>
      <c r="Y12" s="106" t="e">
        <f t="shared" ca="1" si="3"/>
        <v>#N/A</v>
      </c>
      <c r="Z12" s="106" t="e">
        <f>'ung luong'!#REF!</f>
        <v>#REF!</v>
      </c>
      <c r="AA12" s="106">
        <f t="shared" si="4"/>
        <v>0</v>
      </c>
      <c r="AB12" s="106" t="e">
        <f t="shared" ca="1" si="5"/>
        <v>#N/A</v>
      </c>
      <c r="AC12" s="106" t="e">
        <f ca="1">ROUND(AB12,-3)</f>
        <v>#N/A</v>
      </c>
      <c r="AD12" s="193"/>
    </row>
    <row r="13" spans="1:32" s="176" customFormat="1" ht="21" customHeight="1">
      <c r="A13" s="171" t="s">
        <v>16</v>
      </c>
      <c r="B13" s="171"/>
      <c r="C13" s="171" t="s">
        <v>17</v>
      </c>
      <c r="D13" s="171"/>
      <c r="E13" s="171"/>
      <c r="F13" s="171"/>
      <c r="G13" s="174"/>
      <c r="H13" s="173"/>
      <c r="I13" s="173"/>
      <c r="J13" s="174"/>
      <c r="K13" s="187"/>
      <c r="L13" s="175"/>
      <c r="M13" s="175"/>
      <c r="N13" s="175"/>
      <c r="O13" s="175"/>
      <c r="P13" s="175"/>
      <c r="Q13" s="174"/>
      <c r="R13" s="174"/>
      <c r="S13" s="174"/>
      <c r="T13" s="174"/>
      <c r="U13" s="174"/>
      <c r="V13" s="174"/>
      <c r="W13" s="174"/>
      <c r="X13" s="174"/>
      <c r="Y13" s="174" t="e">
        <f ca="1">SUM(Y14:Y16)</f>
        <v>#N/A</v>
      </c>
      <c r="Z13" s="174" t="e">
        <f>SUM(Z14:Z16)</f>
        <v>#REF!</v>
      </c>
      <c r="AA13" s="174">
        <f>SUM(AA14:AA16)</f>
        <v>348285</v>
      </c>
      <c r="AB13" s="174" t="e">
        <f ca="1">SUM(AB14:AB16)</f>
        <v>#N/A</v>
      </c>
      <c r="AC13" s="174" t="e">
        <f ca="1">SUM(AC14:AC16)</f>
        <v>#N/A</v>
      </c>
      <c r="AD13" s="192"/>
      <c r="AE13" s="31"/>
      <c r="AF13" s="214"/>
    </row>
    <row r="14" spans="1:32" ht="21" customHeight="1">
      <c r="A14" s="3">
        <v>7</v>
      </c>
      <c r="B14" s="3" t="s">
        <v>168</v>
      </c>
      <c r="C14" s="3" t="s">
        <v>66</v>
      </c>
      <c r="D14" s="3" t="s">
        <v>204</v>
      </c>
      <c r="E14" s="110">
        <v>41487</v>
      </c>
      <c r="F14" s="111">
        <f t="shared" ca="1" si="0"/>
        <v>6</v>
      </c>
      <c r="G14" s="22">
        <f t="shared" si="1"/>
        <v>3745000</v>
      </c>
      <c r="H14" s="28" t="s">
        <v>211</v>
      </c>
      <c r="I14" s="28">
        <v>3</v>
      </c>
      <c r="J14" s="22">
        <f>SUMIFS(Sheet2!$C$1:$C$81,Sheet2!$A$1:$A$81,'Bang luong'!H14,Sheet2!$B$1:$B$81,'Bang luong'!I14)*1000</f>
        <v>7115500</v>
      </c>
      <c r="K14" s="77" t="e">
        <f>VLOOKUP(C14,CC!$C$5:$AJ$67,34,0)</f>
        <v>#N/A</v>
      </c>
      <c r="L14" s="22" t="e">
        <f t="shared" si="2"/>
        <v>#N/A</v>
      </c>
      <c r="M14" s="22" t="e">
        <f>VLOOKUP(C14,CC!$C$5:$AM$67,36,0)</f>
        <v>#N/A</v>
      </c>
      <c r="N14" s="22" t="e">
        <f>VLOOKUP(C14,CC!$C$5:$BS$67,69,0)</f>
        <v>#N/A</v>
      </c>
      <c r="O14" s="22" t="e">
        <f>VLOOKUP(C14,CC!$C$5:$BT$67,70,0)</f>
        <v>#N/A</v>
      </c>
      <c r="P14" s="22" t="e">
        <f>VLOOKUP(C14,CC!$C$5:$AM$67,37,0)</f>
        <v>#N/A</v>
      </c>
      <c r="Q14" s="22" t="e">
        <f>((J14/26)*K14)+(M14*(J14/26))+((N14/8)*1.5*(J14/26))+((O14/8)*2*J14/26)+(P14*3*(J14/26))</f>
        <v>#N/A</v>
      </c>
      <c r="R14" s="22"/>
      <c r="S14" s="22">
        <f ca="1">IF((F14-$S$3)&gt;0,F14%*J14,0)</f>
        <v>426930</v>
      </c>
      <c r="T14" s="22">
        <f ca="1">(100%-SUMIF('chuyên cần'!$C$6:$AP$31,'Bang luong'!C14,'chuyên cần'!$AP$7:$AP$31))*$T$3</f>
        <v>300000</v>
      </c>
      <c r="U14" s="22">
        <v>1000000</v>
      </c>
      <c r="V14" s="22">
        <v>500000</v>
      </c>
      <c r="W14" s="22"/>
      <c r="X14" s="22">
        <v>200000</v>
      </c>
      <c r="Y14" s="106" t="e">
        <f t="shared" ca="1" si="3"/>
        <v>#N/A</v>
      </c>
      <c r="Z14" s="106" t="e">
        <f>'ung luong'!#REF!</f>
        <v>#REF!</v>
      </c>
      <c r="AA14" s="106">
        <f t="shared" si="4"/>
        <v>348285</v>
      </c>
      <c r="AB14" s="106" t="e">
        <f t="shared" ca="1" si="5"/>
        <v>#N/A</v>
      </c>
      <c r="AC14" s="106" t="e">
        <f t="shared" ca="1" si="6"/>
        <v>#N/A</v>
      </c>
      <c r="AD14" s="193"/>
      <c r="AF14" s="31">
        <v>3317000</v>
      </c>
    </row>
    <row r="15" spans="1:32" ht="21" customHeight="1">
      <c r="A15" s="3">
        <v>8</v>
      </c>
      <c r="B15" s="3" t="s">
        <v>169</v>
      </c>
      <c r="C15" s="3" t="s">
        <v>61</v>
      </c>
      <c r="D15" s="3" t="s">
        <v>205</v>
      </c>
      <c r="E15" s="110">
        <v>42114</v>
      </c>
      <c r="F15" s="111">
        <f t="shared" ca="1" si="0"/>
        <v>4</v>
      </c>
      <c r="G15" s="22">
        <f t="shared" si="1"/>
        <v>3745000</v>
      </c>
      <c r="H15" s="28" t="s">
        <v>211</v>
      </c>
      <c r="I15" s="28">
        <v>3</v>
      </c>
      <c r="J15" s="22">
        <f>SUMIFS(Sheet2!$C$1:$C$81,Sheet2!$A$1:$A$81,'Bang luong'!H15,Sheet2!$B$1:$B$81,'Bang luong'!I15)*1000</f>
        <v>7115500</v>
      </c>
      <c r="K15" s="77" t="e">
        <f>VLOOKUP(C15,CC!$C$5:$AJ$67,34,0)</f>
        <v>#N/A</v>
      </c>
      <c r="L15" s="22" t="e">
        <f t="shared" si="2"/>
        <v>#N/A</v>
      </c>
      <c r="M15" s="22" t="e">
        <f>VLOOKUP(C15,CC!$C$5:$AM$67,36,0)</f>
        <v>#N/A</v>
      </c>
      <c r="N15" s="22" t="e">
        <f>VLOOKUP(C15,CC!$C$5:$BS$67,69,0)</f>
        <v>#N/A</v>
      </c>
      <c r="O15" s="22" t="e">
        <f>VLOOKUP(C15,CC!$C$5:$BT$67,70,0)</f>
        <v>#N/A</v>
      </c>
      <c r="P15" s="22" t="e">
        <f>VLOOKUP(C15,CC!$C$5:$AM$67,37,0)</f>
        <v>#N/A</v>
      </c>
      <c r="Q15" s="22" t="e">
        <f>((J15/26)*K15)+(M15*(J15/26))+((N15/8)*1.5*(J15/26))+((O15/8)*2*J15/26)+(P15*3*(J15/26))</f>
        <v>#N/A</v>
      </c>
      <c r="R15" s="22"/>
      <c r="S15" s="22">
        <f ca="1">IF((F15-$S$3)&gt;0,F15%*J15,0)</f>
        <v>284620</v>
      </c>
      <c r="T15" s="22">
        <f ca="1">(100%-SUMIF('chuyên cần'!$C$6:$AP$31,'Bang luong'!C15,'chuyên cần'!$AP$7:$AP$31))*$T$3</f>
        <v>300000</v>
      </c>
      <c r="U15" s="22">
        <v>1000000</v>
      </c>
      <c r="V15" s="22">
        <v>500000</v>
      </c>
      <c r="W15" s="22"/>
      <c r="X15" s="22">
        <v>200000</v>
      </c>
      <c r="Y15" s="106" t="e">
        <f t="shared" ca="1" si="3"/>
        <v>#N/A</v>
      </c>
      <c r="Z15" s="106" t="e">
        <f>'ung luong'!#REF!</f>
        <v>#REF!</v>
      </c>
      <c r="AA15" s="106">
        <f t="shared" si="4"/>
        <v>0</v>
      </c>
      <c r="AB15" s="106" t="e">
        <f t="shared" ca="1" si="5"/>
        <v>#N/A</v>
      </c>
      <c r="AC15" s="106" t="e">
        <f t="shared" ca="1" si="6"/>
        <v>#N/A</v>
      </c>
      <c r="AD15" s="193"/>
    </row>
    <row r="16" spans="1:32" ht="21" customHeight="1">
      <c r="A16" s="3">
        <v>9</v>
      </c>
      <c r="B16" s="3" t="s">
        <v>499</v>
      </c>
      <c r="C16" s="3" t="s">
        <v>547</v>
      </c>
      <c r="D16" s="3" t="s">
        <v>548</v>
      </c>
      <c r="E16" s="110">
        <v>42248</v>
      </c>
      <c r="F16" s="111">
        <f t="shared" ca="1" si="0"/>
        <v>4</v>
      </c>
      <c r="G16" s="22">
        <f t="shared" si="1"/>
        <v>3745000</v>
      </c>
      <c r="H16" s="28" t="s">
        <v>233</v>
      </c>
      <c r="I16" s="28">
        <v>1</v>
      </c>
      <c r="J16" s="22">
        <f>SUMIFS(Sheet2!$C$1:$C$81,Sheet2!$A$1:$A$81,'Bang luong'!H16,Sheet2!$B$1:$B$81,'Bang luong'!I16)*1000</f>
        <v>3745000</v>
      </c>
      <c r="K16" s="77" t="e">
        <f>VLOOKUP(C16,CC!$C$5:$AJ$67,34,0)</f>
        <v>#N/A</v>
      </c>
      <c r="L16" s="22" t="e">
        <f t="shared" si="2"/>
        <v>#N/A</v>
      </c>
      <c r="M16" s="22" t="e">
        <f>VLOOKUP(C16,CC!$C$5:$AM$67,36,0)</f>
        <v>#N/A</v>
      </c>
      <c r="N16" s="22" t="e">
        <f>VLOOKUP(C16,CC!$C$5:$BS$67,69,0)</f>
        <v>#N/A</v>
      </c>
      <c r="O16" s="22" t="e">
        <f>VLOOKUP(C16,CC!$C$5:$BT$67,70,0)</f>
        <v>#N/A</v>
      </c>
      <c r="P16" s="22" t="e">
        <f>VLOOKUP(C16,CC!$C$5:$AM$67,37,0)</f>
        <v>#N/A</v>
      </c>
      <c r="Q16" s="22" t="e">
        <f>((J16/26)*K16)+(M16*(J16/26))+((N16/8)*1.5*(J16/26))+((O16/8)*2*J16/26)+(P16*3*(J16/26))</f>
        <v>#N/A</v>
      </c>
      <c r="R16" s="22"/>
      <c r="S16" s="22">
        <f ca="1">IF((F16-$S$3)&gt;0,F16%*J16,0)</f>
        <v>149800</v>
      </c>
      <c r="T16" s="22">
        <f ca="1">(100%-SUMIF('chuyên cần'!$C$6:$AP$31,'Bang luong'!C16,'chuyên cần'!$AP$7:$AP$31))*$T$3</f>
        <v>300000</v>
      </c>
      <c r="U16" s="22">
        <v>500000</v>
      </c>
      <c r="V16" s="22">
        <v>500000</v>
      </c>
      <c r="W16" s="22"/>
      <c r="X16" s="22">
        <v>200000</v>
      </c>
      <c r="Y16" s="106" t="e">
        <f t="shared" ca="1" si="3"/>
        <v>#N/A</v>
      </c>
      <c r="Z16" s="106" t="e">
        <f>'ung luong'!#REF!</f>
        <v>#REF!</v>
      </c>
      <c r="AA16" s="106">
        <f t="shared" si="4"/>
        <v>0</v>
      </c>
      <c r="AB16" s="106" t="e">
        <f t="shared" ca="1" si="5"/>
        <v>#N/A</v>
      </c>
      <c r="AC16" s="106" t="e">
        <f t="shared" ca="1" si="6"/>
        <v>#N/A</v>
      </c>
      <c r="AD16" s="193"/>
    </row>
    <row r="17" spans="1:32" s="176" customFormat="1" ht="21" customHeight="1">
      <c r="A17" s="171" t="s">
        <v>18</v>
      </c>
      <c r="B17" s="171"/>
      <c r="C17" s="171" t="s">
        <v>19</v>
      </c>
      <c r="D17" s="171"/>
      <c r="E17" s="171"/>
      <c r="F17" s="171"/>
      <c r="G17" s="172"/>
      <c r="H17" s="173"/>
      <c r="I17" s="173"/>
      <c r="J17" s="174"/>
      <c r="K17" s="187"/>
      <c r="L17" s="175"/>
      <c r="M17" s="175"/>
      <c r="N17" s="175"/>
      <c r="O17" s="175"/>
      <c r="P17" s="175"/>
      <c r="Q17" s="174"/>
      <c r="R17" s="174"/>
      <c r="S17" s="174"/>
      <c r="T17" s="174"/>
      <c r="U17" s="174"/>
      <c r="V17" s="174"/>
      <c r="W17" s="174"/>
      <c r="X17" s="174"/>
      <c r="Y17" s="174" t="e">
        <f ca="1">SUM(Y18:Y32)</f>
        <v>#N/A</v>
      </c>
      <c r="Z17" s="174" t="e">
        <f>SUM(Z18:Z32)</f>
        <v>#REF!</v>
      </c>
      <c r="AA17" s="174">
        <f>SUM(AA18:AA32)</f>
        <v>3155070</v>
      </c>
      <c r="AB17" s="174" t="e">
        <f ca="1">SUM(AB18:AB32)</f>
        <v>#N/A</v>
      </c>
      <c r="AC17" s="174" t="e">
        <f ca="1">SUM(AC18:AC32)</f>
        <v>#N/A</v>
      </c>
      <c r="AD17" s="192"/>
      <c r="AE17" s="31"/>
      <c r="AF17" s="214"/>
    </row>
    <row r="18" spans="1:32" ht="21" customHeight="1">
      <c r="A18" s="3">
        <v>10</v>
      </c>
      <c r="B18" s="3" t="s">
        <v>170</v>
      </c>
      <c r="C18" s="3" t="s">
        <v>67</v>
      </c>
      <c r="D18" s="3" t="s">
        <v>550</v>
      </c>
      <c r="E18" s="110">
        <v>41108</v>
      </c>
      <c r="F18" s="111">
        <f t="shared" ca="1" si="0"/>
        <v>7</v>
      </c>
      <c r="G18" s="22">
        <f t="shared" si="1"/>
        <v>3745000</v>
      </c>
      <c r="H18" s="28" t="s">
        <v>233</v>
      </c>
      <c r="I18" s="28">
        <v>1</v>
      </c>
      <c r="J18" s="202">
        <f>SUMIFS(Sheet2!$C$1:$C$81,Sheet2!$A$1:$A$81,'Bang luong'!H18,Sheet2!$B$1:$B$81,'Bang luong'!I18)*1000</f>
        <v>3745000</v>
      </c>
      <c r="K18" s="77" t="e">
        <f>VLOOKUP(C18,CC!$C$5:$AJ$67,34,0)</f>
        <v>#N/A</v>
      </c>
      <c r="L18" s="22" t="e">
        <f t="shared" si="2"/>
        <v>#N/A</v>
      </c>
      <c r="M18" s="22" t="e">
        <f>VLOOKUP(C18,CC!$C$5:$AM$67,36,0)</f>
        <v>#N/A</v>
      </c>
      <c r="N18" s="22" t="e">
        <f>VLOOKUP(C18,CC!$C$5:$BS$67,69,0)</f>
        <v>#N/A</v>
      </c>
      <c r="O18" s="22" t="e">
        <f>VLOOKUP(C18,CC!$C$5:$BT$67,70,0)</f>
        <v>#N/A</v>
      </c>
      <c r="P18" s="22" t="e">
        <f>VLOOKUP(C18,CC!$C$5:$AM$67,37,0)</f>
        <v>#N/A</v>
      </c>
      <c r="Q18" s="22" t="e">
        <f>((J18/26)*K18)+(M18*(J18/26))+((N18/8)*1.5*(J18/26))+((O18/8)*2*J18/26)+(P18*3*(J18/26))</f>
        <v>#N/A</v>
      </c>
      <c r="R18" s="22" t="e">
        <f>VLOOKUP(C18,'Công tổng'!$C$53:$BY$67,66,0)-L18</f>
        <v>#N/A</v>
      </c>
      <c r="S18" s="22">
        <f t="shared" ref="S18:S32" ca="1" si="7">IF((F18-$S$3)&gt;0,F18%*J18,0)</f>
        <v>262150</v>
      </c>
      <c r="T18" s="22">
        <f ca="1">(100%-SUMIF('chuyên cần'!$C$6:$AP$31,'Bang luong'!C18,'chuyên cần'!$AP$7:$AP$31))*$T$3</f>
        <v>300000</v>
      </c>
      <c r="U18" s="22">
        <v>500000</v>
      </c>
      <c r="V18" s="22">
        <v>500000</v>
      </c>
      <c r="W18" s="22"/>
      <c r="X18" s="22">
        <v>200000</v>
      </c>
      <c r="Y18" s="106" t="e">
        <f ca="1">Q18+R18+S18+T18+U18+V18+W18+X18</f>
        <v>#N/A</v>
      </c>
      <c r="Z18" s="106">
        <f>'ung luong'!F127</f>
        <v>0</v>
      </c>
      <c r="AA18" s="106">
        <f t="shared" si="4"/>
        <v>351750</v>
      </c>
      <c r="AB18" s="106" t="e">
        <f t="shared" ca="1" si="5"/>
        <v>#N/A</v>
      </c>
      <c r="AC18" s="106" t="e">
        <f t="shared" ca="1" si="6"/>
        <v>#N/A</v>
      </c>
      <c r="AD18" s="193"/>
      <c r="AF18" s="31">
        <v>3350000</v>
      </c>
    </row>
    <row r="19" spans="1:32" ht="20.25" customHeight="1">
      <c r="A19" s="3">
        <v>11</v>
      </c>
      <c r="B19" s="3" t="s">
        <v>171</v>
      </c>
      <c r="C19" s="3" t="s">
        <v>72</v>
      </c>
      <c r="D19" s="3" t="s">
        <v>551</v>
      </c>
      <c r="E19" s="110">
        <v>41611</v>
      </c>
      <c r="F19" s="111">
        <f t="shared" ca="1" si="0"/>
        <v>5</v>
      </c>
      <c r="G19" s="22">
        <f t="shared" si="1"/>
        <v>3745000</v>
      </c>
      <c r="H19" s="28" t="s">
        <v>211</v>
      </c>
      <c r="I19" s="28">
        <v>3</v>
      </c>
      <c r="J19" s="202">
        <f>SUMIFS(Sheet2!$C$1:$C$81,Sheet2!$A$1:$A$81,'Bang luong'!H19,Sheet2!$B$1:$B$81,'Bang luong'!I19)*1000</f>
        <v>7115500</v>
      </c>
      <c r="K19" s="77" t="e">
        <f>VLOOKUP(C19,CC!$C$5:$AJ$67,34,0)</f>
        <v>#N/A</v>
      </c>
      <c r="L19" s="22" t="e">
        <f t="shared" si="2"/>
        <v>#N/A</v>
      </c>
      <c r="M19" s="22" t="e">
        <f>VLOOKUP(C19,CC!$C$5:$AM$67,36,0)</f>
        <v>#N/A</v>
      </c>
      <c r="N19" s="22" t="e">
        <f>VLOOKUP(C19,CC!$C$5:$BS$67,69,0)</f>
        <v>#N/A</v>
      </c>
      <c r="O19" s="22" t="e">
        <f>VLOOKUP(C19,CC!$C$5:$BT$67,70,0)</f>
        <v>#N/A</v>
      </c>
      <c r="P19" s="22" t="e">
        <f>VLOOKUP(C19,CC!$C$5:$AM$67,37,0)</f>
        <v>#N/A</v>
      </c>
      <c r="Q19" s="22" t="e">
        <f t="shared" ref="Q19:Q47" si="8">((J19/26)*K19)+(M19*(J19/26))+((N19/8)*1.5*(J19/26))+((O19/8)*2*J19/26)+(P19*3*(J19/26))</f>
        <v>#N/A</v>
      </c>
      <c r="R19" s="22"/>
      <c r="S19" s="22">
        <f t="shared" ca="1" si="7"/>
        <v>355775</v>
      </c>
      <c r="T19" s="22"/>
      <c r="U19" s="22"/>
      <c r="V19" s="22"/>
      <c r="W19" s="22"/>
      <c r="X19" s="22"/>
      <c r="Y19" s="204" t="e">
        <f t="shared" ref="Y19:Y50" ca="1" si="9">Q19+R19+S19+T19+U19+V19+W19+X19</f>
        <v>#N/A</v>
      </c>
      <c r="Z19" s="106" t="e">
        <f>'ung luong'!#REF!</f>
        <v>#REF!</v>
      </c>
      <c r="AA19" s="106">
        <f t="shared" si="4"/>
        <v>351750</v>
      </c>
      <c r="AB19" s="106" t="e">
        <f t="shared" ca="1" si="5"/>
        <v>#N/A</v>
      </c>
      <c r="AC19" s="106" t="e">
        <f t="shared" ca="1" si="6"/>
        <v>#N/A</v>
      </c>
      <c r="AD19" s="193"/>
      <c r="AF19" s="31">
        <v>3350000</v>
      </c>
    </row>
    <row r="20" spans="1:32" ht="21" customHeight="1">
      <c r="A20" s="3">
        <v>12</v>
      </c>
      <c r="B20" s="3" t="s">
        <v>173</v>
      </c>
      <c r="C20" s="3" t="s">
        <v>68</v>
      </c>
      <c r="D20" s="3" t="s">
        <v>206</v>
      </c>
      <c r="E20" s="110">
        <v>41739</v>
      </c>
      <c r="F20" s="111">
        <f t="shared" ca="1" si="0"/>
        <v>5</v>
      </c>
      <c r="G20" s="22">
        <f t="shared" si="1"/>
        <v>3745000</v>
      </c>
      <c r="H20" s="28" t="s">
        <v>233</v>
      </c>
      <c r="I20" s="28">
        <v>1</v>
      </c>
      <c r="J20" s="202">
        <f>SUMIFS(Sheet2!$C$1:$C$81,Sheet2!$A$1:$A$81,'Bang luong'!H20,Sheet2!$B$1:$B$81,'Bang luong'!I20)*1000</f>
        <v>3745000</v>
      </c>
      <c r="K20" s="77" t="e">
        <f>VLOOKUP(C20,CC!$C$5:$AJ$67,34,0)</f>
        <v>#N/A</v>
      </c>
      <c r="L20" s="22" t="e">
        <f t="shared" si="2"/>
        <v>#N/A</v>
      </c>
      <c r="M20" s="22" t="e">
        <f>VLOOKUP(C20,CC!$C$5:$AM$67,36,0)</f>
        <v>#N/A</v>
      </c>
      <c r="N20" s="22" t="e">
        <f>VLOOKUP(C20,CC!$C$5:$BS$67,69,0)</f>
        <v>#N/A</v>
      </c>
      <c r="O20" s="22" t="e">
        <f>VLOOKUP(C20,CC!$C$5:$BT$67,70,0)</f>
        <v>#N/A</v>
      </c>
      <c r="P20" s="22" t="e">
        <f>VLOOKUP(C20,CC!$C$5:$AM$67,37,0)</f>
        <v>#N/A</v>
      </c>
      <c r="Q20" s="22" t="e">
        <f t="shared" si="8"/>
        <v>#N/A</v>
      </c>
      <c r="R20" s="22" t="e">
        <f>VLOOKUP(C20,'Công tổng'!$C$53:$BY$67,66,0)-L20</f>
        <v>#N/A</v>
      </c>
      <c r="S20" s="22">
        <f t="shared" ca="1" si="7"/>
        <v>187250</v>
      </c>
      <c r="T20" s="22">
        <f ca="1">(100%-SUMIF('chuyên cần'!$C$6:$AP$31,'Bang luong'!C20,'chuyên cần'!$AP$7:$AP$31))*$T$3</f>
        <v>300000</v>
      </c>
      <c r="U20" s="22"/>
      <c r="V20" s="22"/>
      <c r="W20" s="22"/>
      <c r="X20" s="22"/>
      <c r="Y20" s="106" t="e">
        <f t="shared" ca="1" si="9"/>
        <v>#N/A</v>
      </c>
      <c r="Z20" s="106" t="e">
        <f>'ung luong'!#REF!</f>
        <v>#REF!</v>
      </c>
      <c r="AA20" s="106">
        <f t="shared" si="4"/>
        <v>351750</v>
      </c>
      <c r="AB20" s="106" t="e">
        <f t="shared" ca="1" si="5"/>
        <v>#N/A</v>
      </c>
      <c r="AC20" s="106" t="e">
        <f t="shared" ca="1" si="6"/>
        <v>#N/A</v>
      </c>
      <c r="AD20" s="193"/>
      <c r="AF20" s="31">
        <v>3350000</v>
      </c>
    </row>
    <row r="21" spans="1:32" ht="21" customHeight="1">
      <c r="A21" s="3">
        <v>13</v>
      </c>
      <c r="B21" s="3" t="s">
        <v>174</v>
      </c>
      <c r="C21" s="3" t="s">
        <v>74</v>
      </c>
      <c r="D21" s="3" t="s">
        <v>206</v>
      </c>
      <c r="E21" s="110">
        <v>37257</v>
      </c>
      <c r="F21" s="111">
        <f t="shared" ca="1" si="0"/>
        <v>17</v>
      </c>
      <c r="G21" s="22">
        <f t="shared" si="1"/>
        <v>3745000</v>
      </c>
      <c r="H21" s="28" t="s">
        <v>233</v>
      </c>
      <c r="I21" s="28">
        <v>2</v>
      </c>
      <c r="J21" s="202">
        <f>SUMIFS(Sheet2!$C$1:$C$81,Sheet2!$A$1:$A$81,'Bang luong'!H21,Sheet2!$B$1:$B$81,'Bang luong'!I21)*1000</f>
        <v>4119500.0000000009</v>
      </c>
      <c r="K21" s="77">
        <f>VLOOKUP(C21,CC!$C$5:$AJ$67,34,0)</f>
        <v>27</v>
      </c>
      <c r="L21" s="22">
        <f t="shared" si="2"/>
        <v>4277942.307692308</v>
      </c>
      <c r="M21" s="22">
        <f>VLOOKUP(C21,CC!$C$5:$AM$67,36,0)</f>
        <v>0</v>
      </c>
      <c r="N21" s="22">
        <f>VLOOKUP(C21,CC!$C$5:$BS$67,69,0)</f>
        <v>0</v>
      </c>
      <c r="O21" s="22">
        <f>VLOOKUP(C21,CC!$C$5:$BT$67,70,0)</f>
        <v>0</v>
      </c>
      <c r="P21" s="22">
        <f>VLOOKUP(C21,CC!$C$5:$AM$67,37,0)</f>
        <v>0</v>
      </c>
      <c r="Q21" s="22">
        <f t="shared" si="8"/>
        <v>4277942.307692308</v>
      </c>
      <c r="R21" s="22" t="e">
        <f>VLOOKUP(C21,'Công tổng'!$C$53:$BY$67,66,0)-L21</f>
        <v>#N/A</v>
      </c>
      <c r="S21" s="22">
        <f t="shared" ca="1" si="7"/>
        <v>700315.00000000023</v>
      </c>
      <c r="T21" s="22">
        <f ca="1">(100%-SUMIF('chuyên cần'!$C$6:$AP$31,'Bang luong'!C21,'chuyên cần'!$AP$7:$AP$31))*$T$3</f>
        <v>300000</v>
      </c>
      <c r="U21" s="22"/>
      <c r="V21" s="22"/>
      <c r="W21" s="22"/>
      <c r="X21" s="22"/>
      <c r="Y21" s="106" t="e">
        <f t="shared" ca="1" si="9"/>
        <v>#N/A</v>
      </c>
      <c r="Z21" s="106" t="e">
        <f>'ung luong'!#REF!</f>
        <v>#REF!</v>
      </c>
      <c r="AA21" s="106">
        <f t="shared" si="4"/>
        <v>351750</v>
      </c>
      <c r="AB21" s="106" t="e">
        <f t="shared" ca="1" si="5"/>
        <v>#N/A</v>
      </c>
      <c r="AC21" s="106" t="e">
        <f t="shared" ca="1" si="6"/>
        <v>#N/A</v>
      </c>
      <c r="AD21" s="193"/>
      <c r="AF21" s="31">
        <v>3350000</v>
      </c>
    </row>
    <row r="22" spans="1:32" ht="21" customHeight="1">
      <c r="A22" s="3">
        <v>14</v>
      </c>
      <c r="B22" s="3" t="s">
        <v>175</v>
      </c>
      <c r="C22" s="3" t="s">
        <v>368</v>
      </c>
      <c r="D22" s="3" t="s">
        <v>206</v>
      </c>
      <c r="E22" s="110">
        <v>37622</v>
      </c>
      <c r="F22" s="111">
        <f t="shared" ca="1" si="0"/>
        <v>16</v>
      </c>
      <c r="G22" s="22">
        <f t="shared" si="1"/>
        <v>3745000</v>
      </c>
      <c r="H22" s="28" t="s">
        <v>233</v>
      </c>
      <c r="I22" s="28">
        <v>2</v>
      </c>
      <c r="J22" s="202">
        <f>SUMIFS(Sheet2!$C$1:$C$81,Sheet2!$A$1:$A$81,'Bang luong'!H22,Sheet2!$B$1:$B$81,'Bang luong'!I22)*1000</f>
        <v>4119500.0000000009</v>
      </c>
      <c r="K22" s="77" t="e">
        <f>VLOOKUP(C22,CC!$C$5:$AJ$67,34,0)</f>
        <v>#N/A</v>
      </c>
      <c r="L22" s="22" t="e">
        <f t="shared" si="2"/>
        <v>#N/A</v>
      </c>
      <c r="M22" s="22" t="e">
        <f>VLOOKUP(C22,CC!$C$5:$AM$67,36,0)</f>
        <v>#N/A</v>
      </c>
      <c r="N22" s="22" t="e">
        <f>VLOOKUP(C22,CC!$C$5:$BS$67,69,0)</f>
        <v>#N/A</v>
      </c>
      <c r="O22" s="22" t="e">
        <f>VLOOKUP(C22,CC!$C$5:$BT$67,70,0)</f>
        <v>#N/A</v>
      </c>
      <c r="P22" s="22" t="e">
        <f>VLOOKUP(C22,CC!$C$5:$AM$67,37,0)</f>
        <v>#N/A</v>
      </c>
      <c r="Q22" s="22" t="e">
        <f t="shared" si="8"/>
        <v>#N/A</v>
      </c>
      <c r="R22" s="22" t="e">
        <f>VLOOKUP(C22,'Công tổng'!$C$53:$BY$67,66,0)-L22</f>
        <v>#N/A</v>
      </c>
      <c r="S22" s="22">
        <f t="shared" ca="1" si="7"/>
        <v>659120.00000000012</v>
      </c>
      <c r="T22" s="22">
        <f ca="1">(100%-SUMIF('chuyên cần'!$C$6:$AP$31,'Bang luong'!C22,'chuyên cần'!$AP$7:$AP$31))*$T$3</f>
        <v>300000</v>
      </c>
      <c r="U22" s="22"/>
      <c r="V22" s="22"/>
      <c r="W22" s="22"/>
      <c r="X22" s="22"/>
      <c r="Y22" s="106" t="e">
        <f t="shared" ca="1" si="9"/>
        <v>#N/A</v>
      </c>
      <c r="Z22" s="106">
        <f>'ung luong'!F82</f>
        <v>3000000</v>
      </c>
      <c r="AA22" s="106">
        <f t="shared" si="4"/>
        <v>351750</v>
      </c>
      <c r="AB22" s="106" t="e">
        <f t="shared" ca="1" si="5"/>
        <v>#N/A</v>
      </c>
      <c r="AC22" s="106" t="e">
        <f t="shared" ca="1" si="6"/>
        <v>#N/A</v>
      </c>
      <c r="AD22" s="193"/>
      <c r="AF22" s="31">
        <v>3350000</v>
      </c>
    </row>
    <row r="23" spans="1:32" ht="21" customHeight="1">
      <c r="A23" s="3">
        <v>15</v>
      </c>
      <c r="B23" s="3" t="s">
        <v>176</v>
      </c>
      <c r="C23" s="3" t="s">
        <v>69</v>
      </c>
      <c r="D23" s="3" t="s">
        <v>206</v>
      </c>
      <c r="E23" s="110">
        <v>40596</v>
      </c>
      <c r="F23" s="111">
        <f t="shared" ca="1" si="0"/>
        <v>8</v>
      </c>
      <c r="G23" s="22">
        <f t="shared" si="1"/>
        <v>3745000</v>
      </c>
      <c r="H23" s="28" t="s">
        <v>233</v>
      </c>
      <c r="I23" s="28">
        <v>1</v>
      </c>
      <c r="J23" s="22">
        <f>SUMIFS(Sheet2!$C$1:$C$81,Sheet2!$A$1:$A$81,'Bang luong'!H23,Sheet2!$B$1:$B$81,'Bang luong'!I23)*1000</f>
        <v>3745000</v>
      </c>
      <c r="K23" s="77" t="e">
        <f>VLOOKUP(C23,CC!$C$5:$AJ$67,34,0)</f>
        <v>#N/A</v>
      </c>
      <c r="L23" s="22" t="e">
        <f t="shared" si="2"/>
        <v>#N/A</v>
      </c>
      <c r="M23" s="22" t="e">
        <f>VLOOKUP(C23,CC!$C$5:$AM$67,36,0)</f>
        <v>#N/A</v>
      </c>
      <c r="N23" s="22" t="e">
        <f>VLOOKUP(C23,CC!$C$5:$BS$67,69,0)</f>
        <v>#N/A</v>
      </c>
      <c r="O23" s="22" t="e">
        <f>VLOOKUP(C23,CC!$C$5:$BT$67,70,0)</f>
        <v>#N/A</v>
      </c>
      <c r="P23" s="22" t="e">
        <f>VLOOKUP(C23,CC!$C$5:$AM$67,37,0)</f>
        <v>#N/A</v>
      </c>
      <c r="Q23" s="22" t="e">
        <f t="shared" si="8"/>
        <v>#N/A</v>
      </c>
      <c r="R23" s="22" t="e">
        <f>VLOOKUP(C23,'Công tổng'!$C$53:$BY$67,66,0)-L23</f>
        <v>#N/A</v>
      </c>
      <c r="S23" s="22">
        <f t="shared" ca="1" si="7"/>
        <v>299600</v>
      </c>
      <c r="T23" s="22">
        <f ca="1">(100%-SUMIF('chuyên cần'!$C$6:$AP$31,'Bang luong'!C23,'chuyên cần'!$AP$7:$AP$31))*$T$3</f>
        <v>300000</v>
      </c>
      <c r="U23" s="22"/>
      <c r="V23" s="22"/>
      <c r="W23" s="22"/>
      <c r="X23" s="22"/>
      <c r="Y23" s="106" t="e">
        <f t="shared" ca="1" si="9"/>
        <v>#N/A</v>
      </c>
      <c r="Z23" s="106" t="e">
        <f>'ung luong'!#REF!</f>
        <v>#REF!</v>
      </c>
      <c r="AA23" s="106">
        <f t="shared" si="4"/>
        <v>348285</v>
      </c>
      <c r="AB23" s="106" t="e">
        <f t="shared" ca="1" si="5"/>
        <v>#N/A</v>
      </c>
      <c r="AC23" s="106" t="e">
        <f t="shared" ca="1" si="6"/>
        <v>#N/A</v>
      </c>
      <c r="AD23" s="193"/>
      <c r="AF23" s="31">
        <v>3317000</v>
      </c>
    </row>
    <row r="24" spans="1:32" s="211" customFormat="1" ht="21" customHeight="1">
      <c r="A24" s="198">
        <v>16</v>
      </c>
      <c r="B24" s="198" t="s">
        <v>177</v>
      </c>
      <c r="C24" s="198" t="s">
        <v>75</v>
      </c>
      <c r="D24" s="198" t="s">
        <v>206</v>
      </c>
      <c r="E24" s="207">
        <v>41321</v>
      </c>
      <c r="F24" s="208">
        <f t="shared" ca="1" si="0"/>
        <v>6</v>
      </c>
      <c r="G24" s="199">
        <f t="shared" ref="G24:G49" si="10">$G$3</f>
        <v>3745000</v>
      </c>
      <c r="H24" s="209" t="s">
        <v>233</v>
      </c>
      <c r="I24" s="209">
        <v>1</v>
      </c>
      <c r="J24" s="199">
        <f>SUMIFS(Sheet2!$C$1:$C$81,Sheet2!$A$1:$A$81,'Bang luong'!H24,Sheet2!$B$1:$B$81,'Bang luong'!I24)*1000</f>
        <v>3745000</v>
      </c>
      <c r="K24" s="200">
        <f>VLOOKUP(C24,CC!$C$5:$AJ$67,34,0)</f>
        <v>27</v>
      </c>
      <c r="L24" s="199">
        <f t="shared" si="2"/>
        <v>3889038.4615384615</v>
      </c>
      <c r="M24" s="199">
        <f>VLOOKUP(C24,CC!$C$5:$AM$67,36,0)</f>
        <v>0</v>
      </c>
      <c r="N24" s="199">
        <f>VLOOKUP(C24,CC!$C$5:$BS$67,69,0)</f>
        <v>0</v>
      </c>
      <c r="O24" s="199">
        <f>VLOOKUP(C24,CC!$C$5:$BT$67,70,0)</f>
        <v>0</v>
      </c>
      <c r="P24" s="199">
        <f>VLOOKUP(C24,CC!$C$5:$AM$67,37,0)</f>
        <v>0</v>
      </c>
      <c r="Q24" s="199">
        <f t="shared" si="8"/>
        <v>3889038.4615384615</v>
      </c>
      <c r="R24" s="199" t="e">
        <f>VLOOKUP(C24,'Công tổng'!$C$53:$BY$67,66,0)-L24</f>
        <v>#N/A</v>
      </c>
      <c r="S24" s="199">
        <f t="shared" ca="1" si="7"/>
        <v>224700</v>
      </c>
      <c r="T24" s="199">
        <f ca="1">(100%-SUMIF('chuyên cần'!$C$6:$AP$31,'Bang luong'!C24,'chuyên cần'!$AP$7:$AP$31))*$T$3</f>
        <v>300000</v>
      </c>
      <c r="U24" s="199"/>
      <c r="V24" s="199"/>
      <c r="W24" s="199"/>
      <c r="X24" s="199"/>
      <c r="Y24" s="203" t="e">
        <f t="shared" ca="1" si="9"/>
        <v>#N/A</v>
      </c>
      <c r="Z24" s="203" t="e">
        <f>'ung luong'!#REF!</f>
        <v>#REF!</v>
      </c>
      <c r="AA24" s="203">
        <v>348000</v>
      </c>
      <c r="AB24" s="203" t="e">
        <f t="shared" ca="1" si="5"/>
        <v>#N/A</v>
      </c>
      <c r="AC24" s="203" t="e">
        <f t="shared" ca="1" si="6"/>
        <v>#N/A</v>
      </c>
      <c r="AD24" s="210"/>
      <c r="AE24" s="31"/>
      <c r="AF24" s="215">
        <v>3317000</v>
      </c>
    </row>
    <row r="25" spans="1:32" ht="21" customHeight="1">
      <c r="A25" s="3">
        <v>17</v>
      </c>
      <c r="B25" s="3" t="s">
        <v>178</v>
      </c>
      <c r="C25" s="3" t="s">
        <v>76</v>
      </c>
      <c r="D25" s="3" t="s">
        <v>206</v>
      </c>
      <c r="E25" s="110">
        <v>41589</v>
      </c>
      <c r="F25" s="111">
        <f t="shared" ca="1" si="0"/>
        <v>5</v>
      </c>
      <c r="G25" s="22">
        <f t="shared" si="10"/>
        <v>3745000</v>
      </c>
      <c r="H25" s="28" t="s">
        <v>233</v>
      </c>
      <c r="I25" s="28">
        <v>1</v>
      </c>
      <c r="J25" s="22">
        <f>SUMIFS(Sheet2!$C$1:$C$81,Sheet2!$A$1:$A$81,'Bang luong'!H25,Sheet2!$B$1:$B$81,'Bang luong'!I25)*1000</f>
        <v>3745000</v>
      </c>
      <c r="K25" s="77" t="e">
        <f>VLOOKUP(C25,CC!$C$5:$AJ$67,34,0)</f>
        <v>#N/A</v>
      </c>
      <c r="L25" s="22" t="e">
        <f t="shared" si="2"/>
        <v>#N/A</v>
      </c>
      <c r="M25" s="22" t="e">
        <f>VLOOKUP(C25,CC!$C$5:$AM$67,36,0)</f>
        <v>#N/A</v>
      </c>
      <c r="N25" s="22" t="e">
        <f>VLOOKUP(C25,CC!$C$5:$BS$67,69,0)</f>
        <v>#N/A</v>
      </c>
      <c r="O25" s="22" t="e">
        <f>VLOOKUP(C25,CC!$C$5:$BT$67,70,0)</f>
        <v>#N/A</v>
      </c>
      <c r="P25" s="22" t="e">
        <f>VLOOKUP(C25,CC!$C$5:$AM$67,37,0)</f>
        <v>#N/A</v>
      </c>
      <c r="Q25" s="22" t="e">
        <f t="shared" si="8"/>
        <v>#N/A</v>
      </c>
      <c r="R25" s="22" t="e">
        <f>VLOOKUP(C25,'Công tổng'!$C$53:$BY$67,66,0)-L25</f>
        <v>#N/A</v>
      </c>
      <c r="S25" s="22">
        <f t="shared" ca="1" si="7"/>
        <v>187250</v>
      </c>
      <c r="T25" s="22">
        <f ca="1">(100%-SUMIF('chuyên cần'!$C$6:$AP$31,'Bang luong'!C25,'chuyên cần'!$AP$7:$AP$31))*$T$3</f>
        <v>300000</v>
      </c>
      <c r="U25" s="22"/>
      <c r="V25" s="22"/>
      <c r="W25" s="22"/>
      <c r="X25" s="22"/>
      <c r="Y25" s="106" t="e">
        <f t="shared" ca="1" si="9"/>
        <v>#N/A</v>
      </c>
      <c r="Z25" s="106" t="e">
        <f>'ung luong'!#REF!</f>
        <v>#REF!</v>
      </c>
      <c r="AA25" s="106">
        <f t="shared" si="4"/>
        <v>348285</v>
      </c>
      <c r="AB25" s="106" t="e">
        <f t="shared" ca="1" si="5"/>
        <v>#N/A</v>
      </c>
      <c r="AC25" s="106" t="e">
        <f t="shared" ca="1" si="6"/>
        <v>#N/A</v>
      </c>
      <c r="AD25" s="193"/>
      <c r="AF25" s="31">
        <v>3317000</v>
      </c>
    </row>
    <row r="26" spans="1:32" ht="21" customHeight="1">
      <c r="A26" s="3">
        <v>18</v>
      </c>
      <c r="B26" s="3" t="s">
        <v>179</v>
      </c>
      <c r="C26" s="3" t="s">
        <v>70</v>
      </c>
      <c r="D26" s="3" t="s">
        <v>206</v>
      </c>
      <c r="E26" s="110">
        <v>38838</v>
      </c>
      <c r="F26" s="111">
        <f t="shared" ca="1" si="0"/>
        <v>13</v>
      </c>
      <c r="G26" s="22">
        <f t="shared" si="10"/>
        <v>3745000</v>
      </c>
      <c r="H26" s="28" t="s">
        <v>234</v>
      </c>
      <c r="I26" s="28">
        <v>4</v>
      </c>
      <c r="J26" s="22">
        <f>SUMIFS(Sheet2!$C$1:$C$81,Sheet2!$A$1:$A$81,'Bang luong'!H26,Sheet2!$B$1:$B$81,'Bang luong'!I26)*1000</f>
        <v>4868500</v>
      </c>
      <c r="K26" s="77">
        <f>VLOOKUP(C26,CC!$C$5:$AJ$67,34,0)</f>
        <v>27</v>
      </c>
      <c r="L26" s="22">
        <f t="shared" si="2"/>
        <v>5055750</v>
      </c>
      <c r="M26" s="22">
        <f>VLOOKUP(C26,CC!$C$5:$AM$67,36,0)</f>
        <v>0</v>
      </c>
      <c r="N26" s="22">
        <f>VLOOKUP(C26,CC!$C$5:$BS$67,69,0)</f>
        <v>0</v>
      </c>
      <c r="O26" s="22">
        <f>VLOOKUP(C26,CC!$C$5:$BT$67,70,0)</f>
        <v>0</v>
      </c>
      <c r="P26" s="22">
        <f>VLOOKUP(C26,CC!$C$5:$AM$67,37,0)</f>
        <v>0</v>
      </c>
      <c r="Q26" s="22">
        <f t="shared" si="8"/>
        <v>5055750</v>
      </c>
      <c r="R26" s="22"/>
      <c r="S26" s="22">
        <f t="shared" ca="1" si="7"/>
        <v>632905</v>
      </c>
      <c r="T26" s="22">
        <f ca="1">(100%-SUMIF('chuyên cần'!$C$6:$AP$31,'Bang luong'!C26,'chuyên cần'!$AP$7:$AP$31))*$T$3</f>
        <v>300000</v>
      </c>
      <c r="U26" s="22"/>
      <c r="V26" s="22"/>
      <c r="W26" s="22"/>
      <c r="X26" s="22"/>
      <c r="Y26" s="106">
        <f t="shared" ca="1" si="9"/>
        <v>5988655</v>
      </c>
      <c r="Z26" s="106" t="e">
        <f>'ung luong'!#REF!</f>
        <v>#REF!</v>
      </c>
      <c r="AA26" s="106">
        <f t="shared" si="4"/>
        <v>351750</v>
      </c>
      <c r="AB26" s="106" t="e">
        <f t="shared" ca="1" si="5"/>
        <v>#REF!</v>
      </c>
      <c r="AC26" s="106" t="e">
        <f t="shared" ca="1" si="6"/>
        <v>#REF!</v>
      </c>
      <c r="AD26" s="193"/>
      <c r="AF26" s="31">
        <v>3350000</v>
      </c>
    </row>
    <row r="27" spans="1:32" ht="21" customHeight="1">
      <c r="A27" s="3">
        <v>19</v>
      </c>
      <c r="B27" s="3" t="s">
        <v>180</v>
      </c>
      <c r="C27" s="3" t="s">
        <v>77</v>
      </c>
      <c r="D27" s="3" t="s">
        <v>206</v>
      </c>
      <c r="E27" s="110">
        <v>41852</v>
      </c>
      <c r="F27" s="111">
        <f t="shared" ca="1" si="0"/>
        <v>5</v>
      </c>
      <c r="G27" s="22">
        <f t="shared" si="10"/>
        <v>3745000</v>
      </c>
      <c r="H27" s="28" t="s">
        <v>233</v>
      </c>
      <c r="I27" s="28">
        <v>1</v>
      </c>
      <c r="J27" s="22">
        <f>SUMIFS(Sheet2!$C$1:$C$81,Sheet2!$A$1:$A$81,'Bang luong'!H27,Sheet2!$B$1:$B$81,'Bang luong'!I27)*1000</f>
        <v>3745000</v>
      </c>
      <c r="K27" s="77">
        <f>VLOOKUP(C27,CC!$C$5:$AJ$67,34,0)</f>
        <v>27</v>
      </c>
      <c r="L27" s="22">
        <f t="shared" si="2"/>
        <v>3889038.4615384615</v>
      </c>
      <c r="M27" s="22">
        <f>VLOOKUP(C27,CC!$C$5:$AM$67,36,0)</f>
        <v>0</v>
      </c>
      <c r="N27" s="22">
        <f>VLOOKUP(C27,CC!$C$5:$BS$67,69,0)</f>
        <v>0</v>
      </c>
      <c r="O27" s="22">
        <f>VLOOKUP(C27,CC!$C$5:$BT$67,70,0)</f>
        <v>0</v>
      </c>
      <c r="P27" s="22">
        <f>VLOOKUP(C27,CC!$C$5:$AM$67,37,0)</f>
        <v>0</v>
      </c>
      <c r="Q27" s="22">
        <f t="shared" si="8"/>
        <v>3889038.4615384615</v>
      </c>
      <c r="R27" s="22" t="e">
        <f>VLOOKUP(C27,'Công tổng'!$C$53:$BY$67,66,0)-L27</f>
        <v>#N/A</v>
      </c>
      <c r="S27" s="22">
        <f t="shared" ca="1" si="7"/>
        <v>187250</v>
      </c>
      <c r="T27" s="22">
        <f ca="1">(100%-SUMIF('chuyên cần'!$C$6:$AP$31,'Bang luong'!C27,'chuyên cần'!$AP$7:$AP$31))*$T$3</f>
        <v>300000</v>
      </c>
      <c r="U27" s="22"/>
      <c r="V27" s="22"/>
      <c r="W27" s="22"/>
      <c r="X27" s="22"/>
      <c r="Y27" s="204" t="e">
        <f t="shared" ca="1" si="9"/>
        <v>#N/A</v>
      </c>
      <c r="Z27" s="106">
        <f>'ung luong'!F107</f>
        <v>4000000</v>
      </c>
      <c r="AA27" s="106">
        <f t="shared" si="4"/>
        <v>0</v>
      </c>
      <c r="AB27" s="106" t="e">
        <f t="shared" ca="1" si="5"/>
        <v>#N/A</v>
      </c>
      <c r="AC27" s="106" t="e">
        <f t="shared" ca="1" si="6"/>
        <v>#N/A</v>
      </c>
      <c r="AD27" s="193"/>
    </row>
    <row r="28" spans="1:32" ht="21" customHeight="1">
      <c r="A28" s="3">
        <v>20</v>
      </c>
      <c r="B28" s="3" t="s">
        <v>181</v>
      </c>
      <c r="C28" s="3" t="s">
        <v>89</v>
      </c>
      <c r="D28" s="3" t="s">
        <v>206</v>
      </c>
      <c r="E28" s="110">
        <v>41640</v>
      </c>
      <c r="F28" s="111">
        <f t="shared" ca="1" si="0"/>
        <v>5</v>
      </c>
      <c r="G28" s="22">
        <f t="shared" si="10"/>
        <v>3745000</v>
      </c>
      <c r="H28" s="28" t="s">
        <v>233</v>
      </c>
      <c r="I28" s="28">
        <v>1</v>
      </c>
      <c r="J28" s="22">
        <f>SUMIFS(Sheet2!$C$1:$C$81,Sheet2!$A$1:$A$81,'Bang luong'!H28,Sheet2!$B$1:$B$81,'Bang luong'!I28)*1000</f>
        <v>3745000</v>
      </c>
      <c r="K28" s="77" t="e">
        <f>VLOOKUP(C28,CC!$C$5:$AJ$67,34,0)</f>
        <v>#N/A</v>
      </c>
      <c r="L28" s="22" t="e">
        <f t="shared" si="2"/>
        <v>#N/A</v>
      </c>
      <c r="M28" s="22" t="e">
        <f>VLOOKUP(C28,CC!$C$5:$AM$67,36,0)</f>
        <v>#N/A</v>
      </c>
      <c r="N28" s="22" t="e">
        <f>VLOOKUP(C28,CC!$C$5:$BS$67,69,0)</f>
        <v>#N/A</v>
      </c>
      <c r="O28" s="22" t="e">
        <f>VLOOKUP(C28,CC!$C$5:$BT$67,70,0)</f>
        <v>#N/A</v>
      </c>
      <c r="P28" s="22" t="e">
        <f>VLOOKUP(C28,CC!$C$5:$AM$67,37,0)</f>
        <v>#N/A</v>
      </c>
      <c r="Q28" s="22" t="e">
        <f t="shared" si="8"/>
        <v>#N/A</v>
      </c>
      <c r="R28" s="22" t="e">
        <f>VLOOKUP(C28,'Công tổng'!$C$53:$BY$67,66,0)-L28</f>
        <v>#N/A</v>
      </c>
      <c r="S28" s="22">
        <f t="shared" ca="1" si="7"/>
        <v>187250</v>
      </c>
      <c r="T28" s="22">
        <f ca="1">(100%-SUMIF('chuyên cần'!$C$6:$AP$31,'Bang luong'!C28,'chuyên cần'!$AP$7:$AP$31))*$T$3</f>
        <v>300000</v>
      </c>
      <c r="U28" s="22"/>
      <c r="V28" s="22"/>
      <c r="W28" s="22"/>
      <c r="X28" s="22"/>
      <c r="Y28" s="106" t="e">
        <f t="shared" ca="1" si="9"/>
        <v>#N/A</v>
      </c>
      <c r="Z28" s="106" t="e">
        <f>'ung luong'!#REF!</f>
        <v>#REF!</v>
      </c>
      <c r="AA28" s="106">
        <f t="shared" si="4"/>
        <v>0</v>
      </c>
      <c r="AB28" s="106" t="e">
        <f t="shared" ca="1" si="5"/>
        <v>#N/A</v>
      </c>
      <c r="AC28" s="106" t="e">
        <f t="shared" ca="1" si="6"/>
        <v>#N/A</v>
      </c>
      <c r="AD28" s="193"/>
    </row>
    <row r="29" spans="1:32" ht="21" customHeight="1">
      <c r="A29" s="3">
        <v>21</v>
      </c>
      <c r="B29" s="3" t="s">
        <v>182</v>
      </c>
      <c r="C29" s="3" t="s">
        <v>71</v>
      </c>
      <c r="D29" s="3" t="s">
        <v>206</v>
      </c>
      <c r="E29" s="110">
        <v>41997</v>
      </c>
      <c r="F29" s="111">
        <f t="shared" ca="1" si="0"/>
        <v>4</v>
      </c>
      <c r="G29" s="22">
        <f t="shared" si="10"/>
        <v>3745000</v>
      </c>
      <c r="H29" s="28" t="s">
        <v>233</v>
      </c>
      <c r="I29" s="28">
        <v>1</v>
      </c>
      <c r="J29" s="22">
        <f>SUMIFS(Sheet2!$C$1:$C$81,Sheet2!$A$1:$A$81,'Bang luong'!H29,Sheet2!$B$1:$B$81,'Bang luong'!I29)*1000</f>
        <v>3745000</v>
      </c>
      <c r="K29" s="77">
        <f>VLOOKUP(C29,CC!$C$5:$AJ$67,34,0)</f>
        <v>27</v>
      </c>
      <c r="L29" s="22">
        <f t="shared" si="2"/>
        <v>3889038.4615384615</v>
      </c>
      <c r="M29" s="22">
        <f>VLOOKUP(C29,CC!$C$5:$AM$67,36,0)</f>
        <v>0</v>
      </c>
      <c r="N29" s="22">
        <f>VLOOKUP(C29,CC!$C$5:$BS$67,69,0)</f>
        <v>0</v>
      </c>
      <c r="O29" s="22">
        <f>VLOOKUP(C29,CC!$C$5:$BT$67,70,0)</f>
        <v>0</v>
      </c>
      <c r="P29" s="22">
        <f>VLOOKUP(C29,CC!$C$5:$AM$67,37,0)</f>
        <v>0</v>
      </c>
      <c r="Q29" s="22">
        <f t="shared" si="8"/>
        <v>3889038.4615384615</v>
      </c>
      <c r="R29" s="22">
        <f>VLOOKUP(C29,'Công tổng'!$C$53:$BY$67,66,0)-L29</f>
        <v>-3889038.4615384615</v>
      </c>
      <c r="S29" s="22">
        <f t="shared" ca="1" si="7"/>
        <v>149800</v>
      </c>
      <c r="T29" s="22">
        <f ca="1">(100%-SUMIF('chuyên cần'!$C$6:$AP$31,'Bang luong'!C29,'chuyên cần'!$AP$7:$AP$31))*$T$3</f>
        <v>300000</v>
      </c>
      <c r="U29" s="22"/>
      <c r="V29" s="22"/>
      <c r="W29" s="22"/>
      <c r="X29" s="22"/>
      <c r="Y29" s="106">
        <f t="shared" ca="1" si="9"/>
        <v>449800</v>
      </c>
      <c r="Z29" s="106">
        <f>'ung luong'!F103</f>
        <v>0</v>
      </c>
      <c r="AA29" s="106">
        <f t="shared" si="4"/>
        <v>0</v>
      </c>
      <c r="AB29" s="106">
        <f t="shared" ca="1" si="5"/>
        <v>449800</v>
      </c>
      <c r="AC29" s="106">
        <f t="shared" ca="1" si="6"/>
        <v>450000</v>
      </c>
      <c r="AD29" s="193"/>
    </row>
    <row r="30" spans="1:32" ht="21" customHeight="1">
      <c r="A30" s="3">
        <v>22</v>
      </c>
      <c r="B30" s="3" t="s">
        <v>183</v>
      </c>
      <c r="C30" s="3" t="s">
        <v>87</v>
      </c>
      <c r="D30" s="3" t="s">
        <v>206</v>
      </c>
      <c r="E30" s="110">
        <v>41786</v>
      </c>
      <c r="F30" s="111">
        <f t="shared" ca="1" si="0"/>
        <v>5</v>
      </c>
      <c r="G30" s="22">
        <f t="shared" si="10"/>
        <v>3745000</v>
      </c>
      <c r="H30" s="28" t="s">
        <v>236</v>
      </c>
      <c r="I30" s="28">
        <v>1</v>
      </c>
      <c r="J30" s="22">
        <f>SUMIFS(Sheet2!$C$1:$C$81,Sheet2!$A$1:$A$81,'Bang luong'!H30,Sheet2!$B$1:$B$81,'Bang luong'!I30)*1000</f>
        <v>3745000</v>
      </c>
      <c r="K30" s="77">
        <f>VLOOKUP(C30,CC!$C$5:$AJ$67,34,0)</f>
        <v>27</v>
      </c>
      <c r="L30" s="22">
        <f t="shared" si="2"/>
        <v>3889038.4615384615</v>
      </c>
      <c r="M30" s="22">
        <f>VLOOKUP(C30,CC!$C$5:$AM$67,36,0)</f>
        <v>0</v>
      </c>
      <c r="N30" s="22">
        <f>VLOOKUP(C30,CC!$C$5:$BS$67,69,0)</f>
        <v>0</v>
      </c>
      <c r="O30" s="22">
        <f>VLOOKUP(C30,CC!$C$5:$BT$67,70,0)</f>
        <v>0</v>
      </c>
      <c r="P30" s="22">
        <f>VLOOKUP(C30,CC!$C$5:$AM$67,37,0)</f>
        <v>0</v>
      </c>
      <c r="Q30" s="22">
        <f t="shared" si="8"/>
        <v>3889038.4615384615</v>
      </c>
      <c r="R30" s="22">
        <f>VLOOKUP(C30,'Công tổng'!$C$53:$BY$67,66,0)-L30</f>
        <v>-3889038.4615384615</v>
      </c>
      <c r="S30" s="22">
        <f t="shared" ca="1" si="7"/>
        <v>187250</v>
      </c>
      <c r="T30" s="22">
        <f ca="1">(100%-SUMIF('chuyên cần'!$C$6:$AP$31,'Bang luong'!C30,'chuyên cần'!$AP$7:$AP$31))*$T$3</f>
        <v>300000</v>
      </c>
      <c r="U30" s="22"/>
      <c r="V30" s="22"/>
      <c r="W30" s="22"/>
      <c r="X30" s="22"/>
      <c r="Y30" s="106">
        <f t="shared" ca="1" si="9"/>
        <v>487250</v>
      </c>
      <c r="Z30" s="106">
        <f>'ung luong'!F99</f>
        <v>4000000</v>
      </c>
      <c r="AA30" s="106">
        <f t="shared" si="4"/>
        <v>0</v>
      </c>
      <c r="AB30" s="106">
        <f t="shared" ca="1" si="5"/>
        <v>-3512750</v>
      </c>
      <c r="AC30" s="106">
        <f t="shared" ca="1" si="6"/>
        <v>-3513000</v>
      </c>
      <c r="AD30" s="193"/>
    </row>
    <row r="31" spans="1:32" ht="21" customHeight="1">
      <c r="A31" s="3">
        <v>23</v>
      </c>
      <c r="B31" s="3" t="s">
        <v>184</v>
      </c>
      <c r="C31" s="3" t="s">
        <v>88</v>
      </c>
      <c r="D31" s="3" t="s">
        <v>206</v>
      </c>
      <c r="E31" s="110">
        <v>41876</v>
      </c>
      <c r="F31" s="111">
        <f t="shared" ca="1" si="0"/>
        <v>5</v>
      </c>
      <c r="G31" s="22">
        <f t="shared" si="10"/>
        <v>3745000</v>
      </c>
      <c r="H31" s="28" t="s">
        <v>236</v>
      </c>
      <c r="I31" s="28">
        <v>1</v>
      </c>
      <c r="J31" s="22">
        <f>SUMIFS(Sheet2!$C$1:$C$81,Sheet2!$A$1:$A$81,'Bang luong'!H31,Sheet2!$B$1:$B$81,'Bang luong'!I31)*1000</f>
        <v>3745000</v>
      </c>
      <c r="K31" s="77">
        <f>VLOOKUP(C31,CC!$C$5:$AJ$67,34,0)</f>
        <v>27</v>
      </c>
      <c r="L31" s="22">
        <f t="shared" si="2"/>
        <v>3889038.4615384615</v>
      </c>
      <c r="M31" s="22">
        <f>VLOOKUP(C31,CC!$C$5:$AM$67,36,0)</f>
        <v>0</v>
      </c>
      <c r="N31" s="22">
        <f>VLOOKUP(C31,CC!$C$5:$BS$67,69,0)</f>
        <v>0</v>
      </c>
      <c r="O31" s="22">
        <f>VLOOKUP(C31,CC!$C$5:$BT$67,70,0)</f>
        <v>0</v>
      </c>
      <c r="P31" s="22">
        <f>VLOOKUP(C31,CC!$C$5:$AM$67,37,0)</f>
        <v>0</v>
      </c>
      <c r="Q31" s="22">
        <f t="shared" si="8"/>
        <v>3889038.4615384615</v>
      </c>
      <c r="R31" s="22">
        <f>VLOOKUP(C31,'Công tổng'!$C$53:$BY$67,66,0)-L31</f>
        <v>-3889038.4615384615</v>
      </c>
      <c r="S31" s="22">
        <f t="shared" ca="1" si="7"/>
        <v>187250</v>
      </c>
      <c r="T31" s="22">
        <f ca="1">(100%-SUMIF('chuyên cần'!$C$6:$AP$31,'Bang luong'!C31,'chuyên cần'!$AP$7:$AP$31))*$T$3</f>
        <v>300000</v>
      </c>
      <c r="U31" s="22"/>
      <c r="V31" s="22"/>
      <c r="W31" s="22"/>
      <c r="X31" s="22"/>
      <c r="Y31" s="106">
        <f t="shared" ca="1" si="9"/>
        <v>487250</v>
      </c>
      <c r="Z31" s="106">
        <f>'ung luong'!F100</f>
        <v>3500000</v>
      </c>
      <c r="AA31" s="106">
        <f t="shared" si="4"/>
        <v>0</v>
      </c>
      <c r="AB31" s="106">
        <f t="shared" ca="1" si="5"/>
        <v>-3012750</v>
      </c>
      <c r="AC31" s="106">
        <f t="shared" ca="1" si="6"/>
        <v>-3013000</v>
      </c>
      <c r="AD31" s="193"/>
    </row>
    <row r="32" spans="1:32" ht="21" customHeight="1">
      <c r="A32" s="3">
        <v>24</v>
      </c>
      <c r="B32" s="3" t="s">
        <v>185</v>
      </c>
      <c r="C32" s="3" t="s">
        <v>81</v>
      </c>
      <c r="D32" s="3" t="s">
        <v>206</v>
      </c>
      <c r="E32" s="110">
        <v>42201</v>
      </c>
      <c r="F32" s="111">
        <f t="shared" ca="1" si="0"/>
        <v>4</v>
      </c>
      <c r="G32" s="22">
        <f t="shared" si="10"/>
        <v>3745000</v>
      </c>
      <c r="H32" s="28" t="s">
        <v>236</v>
      </c>
      <c r="I32" s="28">
        <v>1</v>
      </c>
      <c r="J32" s="22">
        <f>SUMIFS(Sheet2!$C$1:$C$81,Sheet2!$A$1:$A$81,'Bang luong'!H32,Sheet2!$B$1:$B$81,'Bang luong'!I32)*1000</f>
        <v>3745000</v>
      </c>
      <c r="K32" s="77" t="e">
        <f>VLOOKUP(C32,CC!$C$5:$AJ$67,34,0)</f>
        <v>#N/A</v>
      </c>
      <c r="L32" s="22" t="e">
        <f t="shared" si="2"/>
        <v>#N/A</v>
      </c>
      <c r="M32" s="22" t="e">
        <f>VLOOKUP(C32,CC!$C$5:$AM$67,36,0)</f>
        <v>#N/A</v>
      </c>
      <c r="N32" s="22" t="e">
        <f>VLOOKUP(C32,CC!$C$5:$BS$67,69,0)</f>
        <v>#N/A</v>
      </c>
      <c r="O32" s="22" t="e">
        <f>VLOOKUP(C32,CC!$C$5:$BT$67,70,0)</f>
        <v>#N/A</v>
      </c>
      <c r="P32" s="22" t="e">
        <f>VLOOKUP(C32,CC!$C$5:$AM$67,37,0)</f>
        <v>#N/A</v>
      </c>
      <c r="Q32" s="22" t="e">
        <f t="shared" si="8"/>
        <v>#N/A</v>
      </c>
      <c r="R32" s="22" t="e">
        <f>VLOOKUP(C32,'Công tổng'!$C$53:$BY$67,66,0)-L32</f>
        <v>#N/A</v>
      </c>
      <c r="S32" s="22">
        <f t="shared" ca="1" si="7"/>
        <v>149800</v>
      </c>
      <c r="T32" s="22">
        <f ca="1">(100%-SUMIF('chuyên cần'!$C$6:$AP$31,'Bang luong'!C32,'chuyên cần'!$AP$7:$AP$31))*$T$3</f>
        <v>300000</v>
      </c>
      <c r="U32" s="22"/>
      <c r="V32" s="22"/>
      <c r="W32" s="22"/>
      <c r="X32" s="22"/>
      <c r="Y32" s="106" t="e">
        <f t="shared" ca="1" si="9"/>
        <v>#N/A</v>
      </c>
      <c r="Z32" s="106" t="e">
        <f>'ung luong'!#REF!</f>
        <v>#REF!</v>
      </c>
      <c r="AA32" s="106">
        <f t="shared" si="4"/>
        <v>0</v>
      </c>
      <c r="AB32" s="106" t="e">
        <f t="shared" ca="1" si="5"/>
        <v>#N/A</v>
      </c>
      <c r="AC32" s="106" t="e">
        <f t="shared" ca="1" si="6"/>
        <v>#N/A</v>
      </c>
      <c r="AD32" s="193"/>
    </row>
    <row r="33" spans="1:32" s="176" customFormat="1" ht="21" customHeight="1">
      <c r="A33" s="171"/>
      <c r="B33" s="171"/>
      <c r="C33" s="171"/>
      <c r="D33" s="171"/>
      <c r="E33" s="171"/>
      <c r="F33" s="171"/>
      <c r="G33" s="172"/>
      <c r="H33" s="173"/>
      <c r="I33" s="173"/>
      <c r="J33" s="174"/>
      <c r="K33" s="187"/>
      <c r="L33" s="175"/>
      <c r="M33" s="175"/>
      <c r="N33" s="175"/>
      <c r="O33" s="175"/>
      <c r="P33" s="175"/>
      <c r="Q33" s="174"/>
      <c r="R33" s="174"/>
      <c r="S33" s="174"/>
      <c r="T33" s="172"/>
      <c r="U33" s="174"/>
      <c r="V33" s="174"/>
      <c r="W33" s="174"/>
      <c r="X33" s="174"/>
      <c r="Y33" s="174" t="e">
        <f ca="1">SUM(Y34:Y49)</f>
        <v>#N/A</v>
      </c>
      <c r="Z33" s="174" t="e">
        <f>SUM(Z34:Z49)</f>
        <v>#REF!</v>
      </c>
      <c r="AA33" s="174">
        <f>SUM(AA34:AA49)</f>
        <v>1393140</v>
      </c>
      <c r="AB33" s="174" t="e">
        <f ca="1">SUM(AB34:AB49)</f>
        <v>#N/A</v>
      </c>
      <c r="AC33" s="174" t="e">
        <f ca="1">SUM(AC34:AC49)</f>
        <v>#N/A</v>
      </c>
      <c r="AD33" s="192"/>
      <c r="AE33" s="31"/>
      <c r="AF33" s="214"/>
    </row>
    <row r="34" spans="1:32" ht="21" customHeight="1">
      <c r="A34" s="3">
        <v>25</v>
      </c>
      <c r="B34" s="3" t="s">
        <v>186</v>
      </c>
      <c r="C34" s="3" t="s">
        <v>83</v>
      </c>
      <c r="D34" s="3" t="s">
        <v>207</v>
      </c>
      <c r="E34" s="110">
        <v>40462</v>
      </c>
      <c r="F34" s="111">
        <f t="shared" ca="1" si="0"/>
        <v>8</v>
      </c>
      <c r="G34" s="22">
        <f t="shared" si="10"/>
        <v>3745000</v>
      </c>
      <c r="H34" s="28" t="s">
        <v>236</v>
      </c>
      <c r="I34" s="28">
        <v>1</v>
      </c>
      <c r="J34" s="22">
        <f>SUMIFS(Sheet2!$C$1:$C$81,Sheet2!$A$1:$A$81,'Bang luong'!H34,Sheet2!$B$1:$B$81,'Bang luong'!I34)*1000</f>
        <v>3745000</v>
      </c>
      <c r="K34" s="77" t="e">
        <f>VLOOKUP(C34,CC!$C$5:$AJ$67,34,0)</f>
        <v>#N/A</v>
      </c>
      <c r="L34" s="22" t="e">
        <f t="shared" si="2"/>
        <v>#N/A</v>
      </c>
      <c r="M34" s="22" t="e">
        <f>VLOOKUP(C34,CC!$C$5:$AM$67,36,0)</f>
        <v>#N/A</v>
      </c>
      <c r="N34" s="22" t="e">
        <f>VLOOKUP(C34,CC!$C$5:$BS$67,69,0)</f>
        <v>#N/A</v>
      </c>
      <c r="O34" s="22" t="e">
        <f>VLOOKUP(C34,CC!$C$5:$BT$67,70,0)</f>
        <v>#N/A</v>
      </c>
      <c r="P34" s="22" t="e">
        <f>VLOOKUP(C34,CC!$C$5:$AM$67,37,0)</f>
        <v>#N/A</v>
      </c>
      <c r="Q34" s="22" t="e">
        <f t="shared" si="8"/>
        <v>#N/A</v>
      </c>
      <c r="R34" s="22" t="e">
        <f>VLOOKUP(C34,'Công tổng'!$C$53:$BY$67,66,0)-L34</f>
        <v>#N/A</v>
      </c>
      <c r="S34" s="22">
        <f t="shared" ref="S34:S47" ca="1" si="11">IF((F34-$S$3)&gt;0,F34%*J34,0)</f>
        <v>299600</v>
      </c>
      <c r="T34" s="22">
        <f ca="1">(100%-SUMIF('chuyên cần'!$C$6:$AP$31,'Bang luong'!C34,'chuyên cần'!$AP$7:$AP$31))*$T$3</f>
        <v>300000</v>
      </c>
      <c r="U34" s="22"/>
      <c r="V34" s="22"/>
      <c r="W34" s="22"/>
      <c r="X34" s="22"/>
      <c r="Y34" s="106" t="e">
        <f t="shared" ca="1" si="9"/>
        <v>#N/A</v>
      </c>
      <c r="Z34" s="106" t="e">
        <f>'ung luong'!#REF!</f>
        <v>#REF!</v>
      </c>
      <c r="AA34" s="106">
        <f t="shared" si="4"/>
        <v>348285</v>
      </c>
      <c r="AB34" s="106" t="e">
        <f t="shared" ca="1" si="5"/>
        <v>#N/A</v>
      </c>
      <c r="AC34" s="106" t="e">
        <f t="shared" ca="1" si="6"/>
        <v>#N/A</v>
      </c>
      <c r="AD34" s="193"/>
      <c r="AF34" s="31">
        <v>3317000</v>
      </c>
    </row>
    <row r="35" spans="1:32" ht="21" customHeight="1">
      <c r="A35" s="3">
        <v>26</v>
      </c>
      <c r="B35" s="3" t="s">
        <v>187</v>
      </c>
      <c r="C35" s="3" t="s">
        <v>84</v>
      </c>
      <c r="D35" s="3" t="s">
        <v>207</v>
      </c>
      <c r="E35" s="110">
        <v>40596</v>
      </c>
      <c r="F35" s="111">
        <f t="shared" ca="1" si="0"/>
        <v>8</v>
      </c>
      <c r="G35" s="22">
        <f t="shared" si="10"/>
        <v>3745000</v>
      </c>
      <c r="H35" s="28" t="s">
        <v>236</v>
      </c>
      <c r="I35" s="28">
        <v>1</v>
      </c>
      <c r="J35" s="22">
        <f>SUMIFS(Sheet2!$C$1:$C$81,Sheet2!$A$1:$A$81,'Bang luong'!H35,Sheet2!$B$1:$B$81,'Bang luong'!I35)*1000</f>
        <v>3745000</v>
      </c>
      <c r="K35" s="77" t="e">
        <f>VLOOKUP(C35,CC!$C$5:$AJ$67,34,0)</f>
        <v>#N/A</v>
      </c>
      <c r="L35" s="22" t="e">
        <f t="shared" si="2"/>
        <v>#N/A</v>
      </c>
      <c r="M35" s="22" t="e">
        <f>VLOOKUP(C35,CC!$C$5:$AM$67,36,0)</f>
        <v>#N/A</v>
      </c>
      <c r="N35" s="22" t="e">
        <f>VLOOKUP(C35,CC!$C$5:$BS$67,69,0)</f>
        <v>#N/A</v>
      </c>
      <c r="O35" s="22" t="e">
        <f>VLOOKUP(C35,CC!$C$5:$BT$67,70,0)</f>
        <v>#N/A</v>
      </c>
      <c r="P35" s="22" t="e">
        <f>VLOOKUP(C35,CC!$C$5:$AM$67,37,0)</f>
        <v>#N/A</v>
      </c>
      <c r="Q35" s="22" t="e">
        <f t="shared" si="8"/>
        <v>#N/A</v>
      </c>
      <c r="R35" s="22" t="e">
        <f>VLOOKUP(C35,'Công tổng'!$C$53:$BY$67,66,0)-L35</f>
        <v>#N/A</v>
      </c>
      <c r="S35" s="22">
        <f t="shared" ca="1" si="11"/>
        <v>299600</v>
      </c>
      <c r="T35" s="22">
        <f ca="1">(100%-SUMIF('chuyên cần'!$C$6:$AP$31,'Bang luong'!C35,'chuyên cần'!$AP$7:$AP$31))*$T$3</f>
        <v>300000</v>
      </c>
      <c r="U35" s="22"/>
      <c r="V35" s="22"/>
      <c r="W35" s="22"/>
      <c r="X35" s="22"/>
      <c r="Y35" s="106" t="e">
        <f t="shared" ca="1" si="9"/>
        <v>#N/A</v>
      </c>
      <c r="Z35" s="106" t="e">
        <f>'ung luong'!#REF!</f>
        <v>#REF!</v>
      </c>
      <c r="AA35" s="106">
        <f t="shared" si="4"/>
        <v>348285</v>
      </c>
      <c r="AB35" s="106" t="e">
        <f t="shared" ca="1" si="5"/>
        <v>#N/A</v>
      </c>
      <c r="AC35" s="106" t="e">
        <f t="shared" ca="1" si="6"/>
        <v>#N/A</v>
      </c>
      <c r="AD35" s="193"/>
      <c r="AF35" s="31">
        <v>3317000</v>
      </c>
    </row>
    <row r="36" spans="1:32" ht="21" customHeight="1">
      <c r="A36" s="3">
        <v>27</v>
      </c>
      <c r="B36" s="3" t="s">
        <v>188</v>
      </c>
      <c r="C36" s="3" t="s">
        <v>85</v>
      </c>
      <c r="D36" s="3" t="s">
        <v>207</v>
      </c>
      <c r="E36" s="110">
        <v>41682</v>
      </c>
      <c r="F36" s="111">
        <f t="shared" ca="1" si="0"/>
        <v>5</v>
      </c>
      <c r="G36" s="22">
        <f t="shared" si="10"/>
        <v>3745000</v>
      </c>
      <c r="H36" s="28" t="s">
        <v>236</v>
      </c>
      <c r="I36" s="28">
        <v>1</v>
      </c>
      <c r="J36" s="22">
        <f>SUMIFS(Sheet2!$C$1:$C$81,Sheet2!$A$1:$A$81,'Bang luong'!H36,Sheet2!$B$1:$B$81,'Bang luong'!I36)*1000</f>
        <v>3745000</v>
      </c>
      <c r="K36" s="77" t="e">
        <f>VLOOKUP(C36,CC!$C$5:$AJ$67,34,0)</f>
        <v>#N/A</v>
      </c>
      <c r="L36" s="22" t="e">
        <f t="shared" si="2"/>
        <v>#N/A</v>
      </c>
      <c r="M36" s="22" t="e">
        <f>VLOOKUP(C36,CC!$C$5:$AM$67,36,0)</f>
        <v>#N/A</v>
      </c>
      <c r="N36" s="22" t="e">
        <f>VLOOKUP(C36,CC!$C$5:$BS$67,69,0)</f>
        <v>#N/A</v>
      </c>
      <c r="O36" s="22" t="e">
        <f>VLOOKUP(C36,CC!$C$5:$BT$67,70,0)</f>
        <v>#N/A</v>
      </c>
      <c r="P36" s="22" t="e">
        <f>VLOOKUP(C36,CC!$C$5:$AM$67,37,0)</f>
        <v>#N/A</v>
      </c>
      <c r="Q36" s="22" t="e">
        <f t="shared" si="8"/>
        <v>#N/A</v>
      </c>
      <c r="R36" s="22" t="e">
        <f>VLOOKUP(C36,'Công tổng'!$C$53:$BY$67,66,0)-L36</f>
        <v>#N/A</v>
      </c>
      <c r="S36" s="22">
        <f t="shared" ca="1" si="11"/>
        <v>187250</v>
      </c>
      <c r="T36" s="22">
        <f ca="1">(100%-SUMIF('chuyên cần'!$C$6:$AP$31,'Bang luong'!C36,'chuyên cần'!$AP$7:$AP$31))*$T$3</f>
        <v>300000</v>
      </c>
      <c r="U36" s="22"/>
      <c r="V36" s="22"/>
      <c r="W36" s="22"/>
      <c r="X36" s="22"/>
      <c r="Y36" s="203" t="e">
        <f t="shared" ca="1" si="9"/>
        <v>#N/A</v>
      </c>
      <c r="Z36" s="106" t="e">
        <f>'ung luong'!#REF!</f>
        <v>#REF!</v>
      </c>
      <c r="AA36" s="106">
        <f t="shared" si="4"/>
        <v>0</v>
      </c>
      <c r="AB36" s="106" t="e">
        <f t="shared" ca="1" si="5"/>
        <v>#N/A</v>
      </c>
      <c r="AC36" s="106" t="e">
        <f t="shared" ca="1" si="6"/>
        <v>#N/A</v>
      </c>
      <c r="AD36" s="193"/>
    </row>
    <row r="37" spans="1:32" ht="21" customHeight="1">
      <c r="A37" s="3">
        <v>28</v>
      </c>
      <c r="B37" s="3" t="s">
        <v>189</v>
      </c>
      <c r="C37" s="3" t="s">
        <v>239</v>
      </c>
      <c r="D37" s="3" t="s">
        <v>207</v>
      </c>
      <c r="E37" s="110">
        <v>41706</v>
      </c>
      <c r="F37" s="111">
        <f t="shared" ca="1" si="0"/>
        <v>5</v>
      </c>
      <c r="G37" s="22">
        <f t="shared" si="10"/>
        <v>3745000</v>
      </c>
      <c r="H37" s="28" t="s">
        <v>236</v>
      </c>
      <c r="I37" s="28">
        <v>1</v>
      </c>
      <c r="J37" s="22">
        <f>SUMIFS(Sheet2!$C$1:$C$81,Sheet2!$A$1:$A$81,'Bang luong'!H37,Sheet2!$B$1:$B$81,'Bang luong'!I37)*1000</f>
        <v>3745000</v>
      </c>
      <c r="K37" s="77">
        <f>VLOOKUP(C37,CC!$C$5:$AJ$67,34,0)</f>
        <v>27</v>
      </c>
      <c r="L37" s="22">
        <f t="shared" si="2"/>
        <v>3889038.4615384615</v>
      </c>
      <c r="M37" s="22">
        <f>VLOOKUP(C37,CC!$C$5:$AM$67,36,0)</f>
        <v>0</v>
      </c>
      <c r="N37" s="22">
        <f>VLOOKUP(C37,CC!$C$5:$BS$67,69,0)</f>
        <v>0</v>
      </c>
      <c r="O37" s="22">
        <f>VLOOKUP(C37,CC!$C$5:$BT$67,70,0)</f>
        <v>0</v>
      </c>
      <c r="P37" s="22">
        <f>VLOOKUP(C37,CC!$C$5:$AM$67,37,0)</f>
        <v>0</v>
      </c>
      <c r="Q37" s="22">
        <f t="shared" si="8"/>
        <v>3889038.4615384615</v>
      </c>
      <c r="R37" s="22" t="e">
        <f>VLOOKUP(C37,'Công tổng'!$C$53:$BY$67,66,0)-L37</f>
        <v>#N/A</v>
      </c>
      <c r="S37" s="22">
        <f t="shared" ca="1" si="11"/>
        <v>187250</v>
      </c>
      <c r="T37" s="22">
        <f ca="1">(100%-SUMIF('chuyên cần'!$C$6:$AP$31,'Bang luong'!C37,'chuyên cần'!$AP$7:$AP$31))*$T$3</f>
        <v>300000</v>
      </c>
      <c r="U37" s="22"/>
      <c r="V37" s="22"/>
      <c r="W37" s="22"/>
      <c r="X37" s="22"/>
      <c r="Y37" s="106" t="e">
        <f t="shared" ca="1" si="9"/>
        <v>#N/A</v>
      </c>
      <c r="Z37" s="106">
        <f>'ung luong'!F125</f>
        <v>3000000</v>
      </c>
      <c r="AA37" s="106">
        <f t="shared" si="4"/>
        <v>0</v>
      </c>
      <c r="AB37" s="106" t="e">
        <f t="shared" ca="1" si="5"/>
        <v>#N/A</v>
      </c>
      <c r="AC37" s="106" t="e">
        <f t="shared" ca="1" si="6"/>
        <v>#N/A</v>
      </c>
      <c r="AD37" s="193"/>
    </row>
    <row r="38" spans="1:32" ht="21" customHeight="1">
      <c r="A38" s="3">
        <v>29</v>
      </c>
      <c r="B38" s="3" t="s">
        <v>190</v>
      </c>
      <c r="C38" s="3" t="s">
        <v>86</v>
      </c>
      <c r="D38" s="3" t="s">
        <v>207</v>
      </c>
      <c r="E38" s="110">
        <v>41786</v>
      </c>
      <c r="F38" s="111">
        <f t="shared" ca="1" si="0"/>
        <v>5</v>
      </c>
      <c r="G38" s="22">
        <f t="shared" si="10"/>
        <v>3745000</v>
      </c>
      <c r="H38" s="28" t="s">
        <v>236</v>
      </c>
      <c r="I38" s="28">
        <v>1</v>
      </c>
      <c r="J38" s="22">
        <f>SUMIFS(Sheet2!$C$1:$C$81,Sheet2!$A$1:$A$81,'Bang luong'!H38,Sheet2!$B$1:$B$81,'Bang luong'!I38)*1000</f>
        <v>3745000</v>
      </c>
      <c r="K38" s="77">
        <f>VLOOKUP(C38,CC!$C$5:$AJ$67,34,0)</f>
        <v>27</v>
      </c>
      <c r="L38" s="22">
        <f t="shared" si="2"/>
        <v>3889038.4615384615</v>
      </c>
      <c r="M38" s="22">
        <f>VLOOKUP(C38,CC!$C$5:$AM$67,36,0)</f>
        <v>0.5</v>
      </c>
      <c r="N38" s="22">
        <f>VLOOKUP(C38,CC!$C$5:$BS$67,69,0)</f>
        <v>0</v>
      </c>
      <c r="O38" s="22">
        <f>VLOOKUP(C38,CC!$C$5:$BT$67,70,0)</f>
        <v>0</v>
      </c>
      <c r="P38" s="22">
        <f>VLOOKUP(C38,CC!$C$5:$AM$67,37,0)</f>
        <v>0</v>
      </c>
      <c r="Q38" s="22">
        <f t="shared" si="8"/>
        <v>3961057.6923076925</v>
      </c>
      <c r="R38" s="22" t="e">
        <f>VLOOKUP(C38,'Công tổng'!$C$53:$BY$67,66,0)-L38</f>
        <v>#N/A</v>
      </c>
      <c r="S38" s="22">
        <f t="shared" ca="1" si="11"/>
        <v>187250</v>
      </c>
      <c r="T38" s="22">
        <f ca="1">(100%-SUMIF('chuyên cần'!$C$6:$AP$31,'Bang luong'!C38,'chuyên cần'!$AP$7:$AP$31))*$T$3</f>
        <v>300000</v>
      </c>
      <c r="U38" s="22"/>
      <c r="V38" s="22"/>
      <c r="W38" s="22"/>
      <c r="X38" s="22"/>
      <c r="Y38" s="106" t="e">
        <f t="shared" ca="1" si="9"/>
        <v>#N/A</v>
      </c>
      <c r="Z38" s="106" t="e">
        <f>'ung luong'!#REF!</f>
        <v>#REF!</v>
      </c>
      <c r="AA38" s="106">
        <f t="shared" si="4"/>
        <v>0</v>
      </c>
      <c r="AB38" s="106" t="e">
        <f t="shared" ca="1" si="5"/>
        <v>#N/A</v>
      </c>
      <c r="AC38" s="106" t="e">
        <f t="shared" ca="1" si="6"/>
        <v>#N/A</v>
      </c>
      <c r="AD38" s="193"/>
    </row>
    <row r="39" spans="1:32" ht="21" customHeight="1">
      <c r="A39" s="3">
        <v>30</v>
      </c>
      <c r="B39" s="3" t="s">
        <v>191</v>
      </c>
      <c r="C39" s="3" t="s">
        <v>90</v>
      </c>
      <c r="D39" s="3" t="s">
        <v>207</v>
      </c>
      <c r="E39" s="110">
        <v>41956</v>
      </c>
      <c r="F39" s="111">
        <f t="shared" ca="1" si="0"/>
        <v>4</v>
      </c>
      <c r="G39" s="22">
        <f t="shared" si="10"/>
        <v>3745000</v>
      </c>
      <c r="H39" s="28" t="s">
        <v>236</v>
      </c>
      <c r="I39" s="28">
        <v>1</v>
      </c>
      <c r="J39" s="22">
        <f>SUMIFS(Sheet2!$C$1:$C$81,Sheet2!$A$1:$A$81,'Bang luong'!H39,Sheet2!$B$1:$B$81,'Bang luong'!I39)*1000</f>
        <v>3745000</v>
      </c>
      <c r="K39" s="77" t="e">
        <f>VLOOKUP(C39,CC!$C$5:$AJ$67,34,0)</f>
        <v>#N/A</v>
      </c>
      <c r="L39" s="22" t="e">
        <f t="shared" si="2"/>
        <v>#N/A</v>
      </c>
      <c r="M39" s="22" t="e">
        <f>VLOOKUP(C39,CC!$C$5:$AM$67,36,0)</f>
        <v>#N/A</v>
      </c>
      <c r="N39" s="22" t="e">
        <f>VLOOKUP(C39,CC!$C$5:$BS$67,69,0)</f>
        <v>#N/A</v>
      </c>
      <c r="O39" s="22" t="e">
        <f>VLOOKUP(C39,CC!$C$5:$BT$67,70,0)</f>
        <v>#N/A</v>
      </c>
      <c r="P39" s="22" t="e">
        <f>VLOOKUP(C39,CC!$C$5:$AM$67,37,0)</f>
        <v>#N/A</v>
      </c>
      <c r="Q39" s="22" t="e">
        <f t="shared" si="8"/>
        <v>#N/A</v>
      </c>
      <c r="R39" s="22" t="e">
        <f>VLOOKUP(C39,'Công tổng'!$C$53:$BY$67,66,0)-L39</f>
        <v>#N/A</v>
      </c>
      <c r="S39" s="22">
        <f t="shared" ca="1" si="11"/>
        <v>149800</v>
      </c>
      <c r="T39" s="22">
        <f ca="1">(100%-SUMIF('chuyên cần'!$C$6:$AP$31,'Bang luong'!C39,'chuyên cần'!$AP$7:$AP$31))*$T$3</f>
        <v>300000</v>
      </c>
      <c r="U39" s="22"/>
      <c r="V39" s="22"/>
      <c r="W39" s="22"/>
      <c r="X39" s="22"/>
      <c r="Y39" s="106" t="e">
        <f t="shared" ca="1" si="9"/>
        <v>#N/A</v>
      </c>
      <c r="Z39" s="106" t="e">
        <f>'ung luong'!#REF!</f>
        <v>#REF!</v>
      </c>
      <c r="AA39" s="106">
        <f t="shared" si="4"/>
        <v>0</v>
      </c>
      <c r="AB39" s="106" t="e">
        <f t="shared" ca="1" si="5"/>
        <v>#N/A</v>
      </c>
      <c r="AC39" s="106" t="e">
        <f t="shared" ca="1" si="6"/>
        <v>#N/A</v>
      </c>
      <c r="AD39" s="193"/>
    </row>
    <row r="40" spans="1:32" ht="21" customHeight="1">
      <c r="A40" s="3">
        <v>31</v>
      </c>
      <c r="B40" s="3" t="s">
        <v>192</v>
      </c>
      <c r="C40" s="3" t="s">
        <v>91</v>
      </c>
      <c r="D40" s="3" t="s">
        <v>207</v>
      </c>
      <c r="E40" s="110">
        <v>41967</v>
      </c>
      <c r="F40" s="111">
        <f t="shared" ca="1" si="0"/>
        <v>4</v>
      </c>
      <c r="G40" s="22">
        <f t="shared" si="10"/>
        <v>3745000</v>
      </c>
      <c r="H40" s="28" t="s">
        <v>236</v>
      </c>
      <c r="I40" s="28">
        <v>1</v>
      </c>
      <c r="J40" s="22">
        <f>SUMIFS(Sheet2!$C$1:$C$81,Sheet2!$A$1:$A$81,'Bang luong'!H40,Sheet2!$B$1:$B$81,'Bang luong'!I40)*1000</f>
        <v>3745000</v>
      </c>
      <c r="K40" s="77">
        <f>VLOOKUP(C40,CC!$C$5:$AJ$67,34,0)</f>
        <v>27</v>
      </c>
      <c r="L40" s="22">
        <f t="shared" si="2"/>
        <v>3889038.4615384615</v>
      </c>
      <c r="M40" s="22">
        <f>VLOOKUP(C40,CC!$C$5:$AM$67,36,0)</f>
        <v>0</v>
      </c>
      <c r="N40" s="22">
        <f>VLOOKUP(C40,CC!$C$5:$BS$67,69,0)</f>
        <v>0</v>
      </c>
      <c r="O40" s="22">
        <f>VLOOKUP(C40,CC!$C$5:$BT$67,70,0)</f>
        <v>0</v>
      </c>
      <c r="P40" s="22">
        <f>VLOOKUP(C40,CC!$C$5:$AM$67,37,0)</f>
        <v>0</v>
      </c>
      <c r="Q40" s="22">
        <f t="shared" si="8"/>
        <v>3889038.4615384615</v>
      </c>
      <c r="R40" s="22">
        <f>VLOOKUP(C40,'Công tổng'!$C$53:$BY$67,66,0)-L40</f>
        <v>-3889038.4615384615</v>
      </c>
      <c r="S40" s="22">
        <f t="shared" ca="1" si="11"/>
        <v>149800</v>
      </c>
      <c r="T40" s="22">
        <f ca="1">(100%-SUMIF('chuyên cần'!$C$6:$AP$31,'Bang luong'!C40,'chuyên cần'!$AP$7:$AP$31))*$T$3</f>
        <v>300000</v>
      </c>
      <c r="U40" s="22"/>
      <c r="V40" s="22"/>
      <c r="W40" s="22"/>
      <c r="X40" s="22"/>
      <c r="Y40" s="106">
        <f t="shared" ca="1" si="9"/>
        <v>449800</v>
      </c>
      <c r="Z40" s="106">
        <f>'ung luong'!F91</f>
        <v>3000000</v>
      </c>
      <c r="AA40" s="106">
        <f t="shared" si="4"/>
        <v>0</v>
      </c>
      <c r="AB40" s="106">
        <f t="shared" ca="1" si="5"/>
        <v>-2550200</v>
      </c>
      <c r="AC40" s="106">
        <f t="shared" ca="1" si="6"/>
        <v>-2550000</v>
      </c>
      <c r="AD40" s="193"/>
    </row>
    <row r="41" spans="1:32" ht="21" customHeight="1">
      <c r="A41" s="3">
        <v>32</v>
      </c>
      <c r="B41" s="3" t="s">
        <v>194</v>
      </c>
      <c r="C41" s="3" t="s">
        <v>240</v>
      </c>
      <c r="D41" s="3" t="s">
        <v>207</v>
      </c>
      <c r="E41" s="110">
        <v>42065</v>
      </c>
      <c r="F41" s="111">
        <f t="shared" ca="1" si="0"/>
        <v>4</v>
      </c>
      <c r="G41" s="22">
        <f t="shared" si="10"/>
        <v>3745000</v>
      </c>
      <c r="H41" s="28" t="s">
        <v>236</v>
      </c>
      <c r="I41" s="28">
        <v>1</v>
      </c>
      <c r="J41" s="22">
        <f>SUMIFS(Sheet2!$C$1:$C$81,Sheet2!$A$1:$A$81,'Bang luong'!H41,Sheet2!$B$1:$B$81,'Bang luong'!I41)*1000</f>
        <v>3745000</v>
      </c>
      <c r="K41" s="77" t="e">
        <f>VLOOKUP(C41,CC!$C$5:$AJ$67,34,0)</f>
        <v>#N/A</v>
      </c>
      <c r="L41" s="22" t="e">
        <f t="shared" si="2"/>
        <v>#N/A</v>
      </c>
      <c r="M41" s="22" t="e">
        <f>VLOOKUP(C41,CC!$C$5:$AM$67,36,0)</f>
        <v>#N/A</v>
      </c>
      <c r="N41" s="22" t="e">
        <f>VLOOKUP(C41,CC!$C$5:$BS$67,69,0)</f>
        <v>#N/A</v>
      </c>
      <c r="O41" s="22" t="e">
        <f>VLOOKUP(C41,CC!$C$5:$BT$67,70,0)</f>
        <v>#N/A</v>
      </c>
      <c r="P41" s="22" t="e">
        <f>VLOOKUP(C41,CC!$C$5:$AM$67,37,0)</f>
        <v>#N/A</v>
      </c>
      <c r="Q41" s="22" t="e">
        <f t="shared" si="8"/>
        <v>#N/A</v>
      </c>
      <c r="R41" s="22" t="e">
        <f>VLOOKUP(C41,'Công tổng'!$C$53:$BY$67,66,0)-L41</f>
        <v>#N/A</v>
      </c>
      <c r="S41" s="22">
        <f t="shared" ca="1" si="11"/>
        <v>149800</v>
      </c>
      <c r="T41" s="22">
        <f ca="1">(100%-SUMIF('chuyên cần'!$C$6:$AP$31,'Bang luong'!C41,'chuyên cần'!$AP$7:$AP$31))*$T$3</f>
        <v>300000</v>
      </c>
      <c r="U41" s="22"/>
      <c r="V41" s="22"/>
      <c r="W41" s="22"/>
      <c r="X41" s="22"/>
      <c r="Y41" s="106" t="e">
        <f t="shared" ca="1" si="9"/>
        <v>#N/A</v>
      </c>
      <c r="Z41" s="106">
        <f>'ung luong'!F74</f>
        <v>4000000</v>
      </c>
      <c r="AA41" s="106">
        <f t="shared" si="4"/>
        <v>0</v>
      </c>
      <c r="AB41" s="106" t="e">
        <f t="shared" ca="1" si="5"/>
        <v>#N/A</v>
      </c>
      <c r="AC41" s="106" t="e">
        <f t="shared" ca="1" si="6"/>
        <v>#N/A</v>
      </c>
      <c r="AD41" s="193"/>
    </row>
    <row r="42" spans="1:32" ht="21" customHeight="1">
      <c r="A42" s="3">
        <v>33</v>
      </c>
      <c r="B42" s="3" t="s">
        <v>195</v>
      </c>
      <c r="C42" s="3" t="s">
        <v>369</v>
      </c>
      <c r="D42" s="3" t="s">
        <v>207</v>
      </c>
      <c r="E42" s="110">
        <v>42066</v>
      </c>
      <c r="F42" s="111">
        <f t="shared" ca="1" si="0"/>
        <v>4</v>
      </c>
      <c r="G42" s="22">
        <f t="shared" si="10"/>
        <v>3745000</v>
      </c>
      <c r="H42" s="28" t="s">
        <v>236</v>
      </c>
      <c r="I42" s="28">
        <v>1</v>
      </c>
      <c r="J42" s="22">
        <f>SUMIFS(Sheet2!$C$1:$C$81,Sheet2!$A$1:$A$81,'Bang luong'!H42,Sheet2!$B$1:$B$81,'Bang luong'!I42)*1000</f>
        <v>3745000</v>
      </c>
      <c r="K42" s="77">
        <f>VLOOKUP(C42,CC!$C$5:$AJ$67,34,0)</f>
        <v>27</v>
      </c>
      <c r="L42" s="22">
        <f t="shared" si="2"/>
        <v>3889038.4615384615</v>
      </c>
      <c r="M42" s="22">
        <f>VLOOKUP(C42,CC!$C$5:$AM$67,36,0)</f>
        <v>0</v>
      </c>
      <c r="N42" s="22">
        <f>VLOOKUP(C42,CC!$C$5:$BS$67,69,0)</f>
        <v>0</v>
      </c>
      <c r="O42" s="22">
        <f>VLOOKUP(C42,CC!$C$5:$BT$67,70,0)</f>
        <v>0</v>
      </c>
      <c r="P42" s="22">
        <f>VLOOKUP(C42,CC!$C$5:$AM$67,37,0)</f>
        <v>0</v>
      </c>
      <c r="Q42" s="22">
        <f t="shared" si="8"/>
        <v>3889038.4615384615</v>
      </c>
      <c r="R42" s="22">
        <f>VLOOKUP(C42,'Công tổng'!$C$53:$BY$67,66,0)-L42</f>
        <v>-3889038.4615384615</v>
      </c>
      <c r="S42" s="22">
        <f t="shared" ca="1" si="11"/>
        <v>149800</v>
      </c>
      <c r="T42" s="22">
        <f ca="1">(100%-SUMIF('chuyên cần'!$C$6:$AP$31,'Bang luong'!C42,'chuyên cần'!$AP$7:$AP$31))*$T$3</f>
        <v>300000</v>
      </c>
      <c r="U42" s="22"/>
      <c r="V42" s="22"/>
      <c r="W42" s="22"/>
      <c r="X42" s="22"/>
      <c r="Y42" s="203">
        <f t="shared" ca="1" si="9"/>
        <v>449800</v>
      </c>
      <c r="Z42" s="106" t="e">
        <f>'ung luong'!#REF!</f>
        <v>#REF!</v>
      </c>
      <c r="AA42" s="106">
        <f t="shared" si="4"/>
        <v>0</v>
      </c>
      <c r="AB42" s="106" t="e">
        <f t="shared" ca="1" si="5"/>
        <v>#REF!</v>
      </c>
      <c r="AC42" s="106" t="e">
        <f t="shared" ca="1" si="6"/>
        <v>#REF!</v>
      </c>
      <c r="AD42" s="193"/>
    </row>
    <row r="43" spans="1:32" ht="21" customHeight="1">
      <c r="A43" s="3">
        <v>34</v>
      </c>
      <c r="B43" s="3" t="s">
        <v>196</v>
      </c>
      <c r="C43" s="3" t="s">
        <v>93</v>
      </c>
      <c r="D43" s="3" t="s">
        <v>207</v>
      </c>
      <c r="E43" s="110">
        <v>42066</v>
      </c>
      <c r="F43" s="111">
        <f t="shared" ca="1" si="0"/>
        <v>4</v>
      </c>
      <c r="G43" s="22">
        <f t="shared" si="10"/>
        <v>3745000</v>
      </c>
      <c r="H43" s="28" t="s">
        <v>236</v>
      </c>
      <c r="I43" s="28">
        <v>1</v>
      </c>
      <c r="J43" s="22">
        <f>SUMIFS(Sheet2!$C$1:$C$81,Sheet2!$A$1:$A$81,'Bang luong'!H43,Sheet2!$B$1:$B$81,'Bang luong'!I43)*1000</f>
        <v>3745000</v>
      </c>
      <c r="K43" s="77">
        <f>VLOOKUP(C43,CC!$C$5:$AJ$67,34,0)</f>
        <v>27</v>
      </c>
      <c r="L43" s="22">
        <f t="shared" si="2"/>
        <v>3889038.4615384615</v>
      </c>
      <c r="M43" s="22">
        <f>VLOOKUP(C43,CC!$C$5:$AM$67,36,0)</f>
        <v>0</v>
      </c>
      <c r="N43" s="22">
        <f>VLOOKUP(C43,CC!$C$5:$BS$67,69,0)</f>
        <v>0</v>
      </c>
      <c r="O43" s="22">
        <f>VLOOKUP(C43,CC!$C$5:$BT$67,70,0)</f>
        <v>0</v>
      </c>
      <c r="P43" s="22">
        <f>VLOOKUP(C43,CC!$C$5:$AM$67,37,0)</f>
        <v>0</v>
      </c>
      <c r="Q43" s="22">
        <f t="shared" si="8"/>
        <v>3889038.4615384615</v>
      </c>
      <c r="R43" s="22" t="e">
        <f>VLOOKUP(C43,'Công tổng'!$C$53:$BY$67,66,0)-L43</f>
        <v>#N/A</v>
      </c>
      <c r="S43" s="22">
        <f t="shared" ca="1" si="11"/>
        <v>149800</v>
      </c>
      <c r="T43" s="22">
        <f ca="1">(100%-SUMIF('chuyên cần'!$C$6:$AP$31,'Bang luong'!C43,'chuyên cần'!$AP$7:$AP$31))*$T$3</f>
        <v>300000</v>
      </c>
      <c r="U43" s="22"/>
      <c r="V43" s="22"/>
      <c r="W43" s="22"/>
      <c r="X43" s="22"/>
      <c r="Y43" s="106" t="e">
        <f t="shared" ca="1" si="9"/>
        <v>#N/A</v>
      </c>
      <c r="Z43" s="106">
        <f>'ung luong'!F95</f>
        <v>4000000</v>
      </c>
      <c r="AA43" s="106">
        <f t="shared" si="4"/>
        <v>0</v>
      </c>
      <c r="AB43" s="106" t="e">
        <f t="shared" ca="1" si="5"/>
        <v>#N/A</v>
      </c>
      <c r="AC43" s="106" t="e">
        <f t="shared" ca="1" si="6"/>
        <v>#N/A</v>
      </c>
      <c r="AD43" s="193"/>
    </row>
    <row r="44" spans="1:32" ht="21" customHeight="1">
      <c r="A44" s="3">
        <v>35</v>
      </c>
      <c r="B44" s="3" t="s">
        <v>197</v>
      </c>
      <c r="C44" s="3" t="s">
        <v>80</v>
      </c>
      <c r="D44" s="3" t="s">
        <v>207</v>
      </c>
      <c r="E44" s="110">
        <v>42078</v>
      </c>
      <c r="F44" s="111">
        <f t="shared" ca="1" si="0"/>
        <v>4</v>
      </c>
      <c r="G44" s="22">
        <f t="shared" si="10"/>
        <v>3745000</v>
      </c>
      <c r="H44" s="28" t="s">
        <v>236</v>
      </c>
      <c r="I44" s="28">
        <v>1</v>
      </c>
      <c r="J44" s="22">
        <f>SUMIFS(Sheet2!$C$1:$C$81,Sheet2!$A$1:$A$81,'Bang luong'!H44,Sheet2!$B$1:$B$81,'Bang luong'!I44)*1000</f>
        <v>3745000</v>
      </c>
      <c r="K44" s="77">
        <f>VLOOKUP(C44,CC!$C$5:$AJ$67,34,0)</f>
        <v>27</v>
      </c>
      <c r="L44" s="22">
        <f t="shared" si="2"/>
        <v>3889038.4615384615</v>
      </c>
      <c r="M44" s="22">
        <f>VLOOKUP(C44,CC!$C$5:$AM$67,36,0)</f>
        <v>0</v>
      </c>
      <c r="N44" s="22">
        <f>VLOOKUP(C44,CC!$C$5:$BS$67,69,0)</f>
        <v>0</v>
      </c>
      <c r="O44" s="22">
        <f>VLOOKUP(C44,CC!$C$5:$BT$67,70,0)</f>
        <v>0</v>
      </c>
      <c r="P44" s="22">
        <f>VLOOKUP(C44,CC!$C$5:$AM$67,37,0)</f>
        <v>0</v>
      </c>
      <c r="Q44" s="22">
        <f t="shared" si="8"/>
        <v>3889038.4615384615</v>
      </c>
      <c r="R44" s="22" t="e">
        <f>VLOOKUP(C44,'Công tổng'!$C$53:$BY$67,66,0)-L44</f>
        <v>#N/A</v>
      </c>
      <c r="S44" s="22">
        <f t="shared" ca="1" si="11"/>
        <v>149800</v>
      </c>
      <c r="T44" s="22">
        <f ca="1">(100%-SUMIF('chuyên cần'!$C$6:$AP$31,'Bang luong'!C44,'chuyên cần'!$AP$7:$AP$31))*$T$3</f>
        <v>300000</v>
      </c>
      <c r="U44" s="22"/>
      <c r="V44" s="22"/>
      <c r="W44" s="22"/>
      <c r="X44" s="22"/>
      <c r="Y44" s="203" t="e">
        <f t="shared" ca="1" si="9"/>
        <v>#N/A</v>
      </c>
      <c r="Z44" s="106">
        <f>'ung luong'!F109</f>
        <v>4000000</v>
      </c>
      <c r="AA44" s="106">
        <f t="shared" si="4"/>
        <v>0</v>
      </c>
      <c r="AB44" s="106" t="e">
        <f t="shared" ca="1" si="5"/>
        <v>#N/A</v>
      </c>
      <c r="AC44" s="106" t="e">
        <f t="shared" ca="1" si="6"/>
        <v>#N/A</v>
      </c>
      <c r="AD44" s="193"/>
    </row>
    <row r="45" spans="1:32" ht="21" customHeight="1">
      <c r="A45" s="3">
        <v>36</v>
      </c>
      <c r="B45" s="3" t="s">
        <v>198</v>
      </c>
      <c r="C45" s="3" t="s">
        <v>78</v>
      </c>
      <c r="D45" s="3" t="s">
        <v>207</v>
      </c>
      <c r="E45" s="110">
        <v>40869</v>
      </c>
      <c r="F45" s="111">
        <f t="shared" ca="1" si="0"/>
        <v>7</v>
      </c>
      <c r="G45" s="22">
        <f t="shared" si="10"/>
        <v>3745000</v>
      </c>
      <c r="H45" s="28" t="s">
        <v>236</v>
      </c>
      <c r="I45" s="28">
        <v>1</v>
      </c>
      <c r="J45" s="22">
        <f>SUMIFS(Sheet2!$C$1:$C$81,Sheet2!$A$1:$A$81,'Bang luong'!H45,Sheet2!$B$1:$B$81,'Bang luong'!I45)*1000</f>
        <v>3745000</v>
      </c>
      <c r="K45" s="77">
        <f>VLOOKUP(C45,CC!$C$5:$AJ$67,34,0)</f>
        <v>27</v>
      </c>
      <c r="L45" s="22">
        <f t="shared" si="2"/>
        <v>3889038.4615384615</v>
      </c>
      <c r="M45" s="22">
        <f>VLOOKUP(C45,CC!$C$5:$AM$67,36,0)</f>
        <v>0</v>
      </c>
      <c r="N45" s="22">
        <f>VLOOKUP(C45,CC!$C$5:$BS$67,69,0)</f>
        <v>0</v>
      </c>
      <c r="O45" s="22">
        <f>VLOOKUP(C45,CC!$C$5:$BT$67,70,0)</f>
        <v>0</v>
      </c>
      <c r="P45" s="22">
        <f>VLOOKUP(C45,CC!$C$5:$AM$67,37,0)</f>
        <v>0</v>
      </c>
      <c r="Q45" s="22">
        <f t="shared" si="8"/>
        <v>3889038.4615384615</v>
      </c>
      <c r="R45" s="22" t="e">
        <f>VLOOKUP(C45,'Công tổng'!$C$53:$BY$67,66,0)-L45</f>
        <v>#N/A</v>
      </c>
      <c r="S45" s="22">
        <f t="shared" ca="1" si="11"/>
        <v>262150</v>
      </c>
      <c r="T45" s="22">
        <f ca="1">(100%-SUMIF('chuyên cần'!$C$6:$AP$31,'Bang luong'!C45,'chuyên cần'!$AP$7:$AP$31))*$T$3</f>
        <v>300000</v>
      </c>
      <c r="U45" s="22"/>
      <c r="V45" s="22"/>
      <c r="W45" s="22"/>
      <c r="X45" s="22"/>
      <c r="Y45" s="106" t="e">
        <f t="shared" ca="1" si="9"/>
        <v>#N/A</v>
      </c>
      <c r="Z45" s="106" t="e">
        <f>'ung luong'!#REF!</f>
        <v>#REF!</v>
      </c>
      <c r="AA45" s="106">
        <f t="shared" si="4"/>
        <v>348285</v>
      </c>
      <c r="AB45" s="106" t="e">
        <f t="shared" ca="1" si="5"/>
        <v>#N/A</v>
      </c>
      <c r="AC45" s="106" t="e">
        <f t="shared" ca="1" si="6"/>
        <v>#N/A</v>
      </c>
      <c r="AD45" s="193"/>
      <c r="AF45" s="31">
        <v>3317000</v>
      </c>
    </row>
    <row r="46" spans="1:32" ht="21" customHeight="1">
      <c r="A46" s="3">
        <v>37</v>
      </c>
      <c r="B46" s="3" t="s">
        <v>199</v>
      </c>
      <c r="C46" s="3" t="s">
        <v>82</v>
      </c>
      <c r="D46" s="3" t="s">
        <v>207</v>
      </c>
      <c r="E46" s="110">
        <v>42201</v>
      </c>
      <c r="F46" s="111">
        <f t="shared" ca="1" si="0"/>
        <v>4</v>
      </c>
      <c r="G46" s="22">
        <f t="shared" si="10"/>
        <v>3745000</v>
      </c>
      <c r="H46" s="28" t="s">
        <v>236</v>
      </c>
      <c r="I46" s="28">
        <v>1</v>
      </c>
      <c r="J46" s="22">
        <f>SUMIFS(Sheet2!$C$1:$C$81,Sheet2!$A$1:$A$81,'Bang luong'!H46,Sheet2!$B$1:$B$81,'Bang luong'!I46)*1000</f>
        <v>3745000</v>
      </c>
      <c r="K46" s="77" t="e">
        <f>VLOOKUP(C46,CC!$C$5:$AJ$67,34,0)</f>
        <v>#N/A</v>
      </c>
      <c r="L46" s="22" t="e">
        <f t="shared" si="2"/>
        <v>#N/A</v>
      </c>
      <c r="M46" s="22" t="e">
        <f>VLOOKUP(C46,CC!$C$5:$AM$67,36,0)</f>
        <v>#N/A</v>
      </c>
      <c r="N46" s="22" t="e">
        <f>VLOOKUP(C46,CC!$C$5:$BS$67,69,0)</f>
        <v>#N/A</v>
      </c>
      <c r="O46" s="22" t="e">
        <f>VLOOKUP(C46,CC!$C$5:$BT$67,70,0)</f>
        <v>#N/A</v>
      </c>
      <c r="P46" s="22" t="e">
        <f>VLOOKUP(C46,CC!$C$5:$AM$67,37,0)</f>
        <v>#N/A</v>
      </c>
      <c r="Q46" s="22" t="e">
        <f t="shared" si="8"/>
        <v>#N/A</v>
      </c>
      <c r="R46" s="22" t="e">
        <f>VLOOKUP(C46,'Công tổng'!$C$53:$BY$67,66,0)-L46</f>
        <v>#N/A</v>
      </c>
      <c r="S46" s="22">
        <f t="shared" ca="1" si="11"/>
        <v>149800</v>
      </c>
      <c r="T46" s="22">
        <f ca="1">(100%-SUMIF('chuyên cần'!$C$6:$AP$31,'Bang luong'!C46,'chuyên cần'!$AP$7:$AP$31))*$T$3</f>
        <v>300000</v>
      </c>
      <c r="U46" s="22"/>
      <c r="V46" s="22"/>
      <c r="W46" s="22"/>
      <c r="X46" s="22"/>
      <c r="Y46" s="106" t="e">
        <f t="shared" ca="1" si="9"/>
        <v>#N/A</v>
      </c>
      <c r="Z46" s="106">
        <f>'ung luong'!F94</f>
        <v>2000000</v>
      </c>
      <c r="AA46" s="106">
        <f t="shared" si="4"/>
        <v>0</v>
      </c>
      <c r="AB46" s="106" t="e">
        <f t="shared" ca="1" si="5"/>
        <v>#N/A</v>
      </c>
      <c r="AC46" s="106" t="e">
        <f ca="1">ROUND(AB46,-3)</f>
        <v>#N/A</v>
      </c>
      <c r="AD46" s="193"/>
    </row>
    <row r="47" spans="1:32" ht="20.25" customHeight="1">
      <c r="A47" s="3">
        <v>38</v>
      </c>
      <c r="B47" s="3" t="s">
        <v>200</v>
      </c>
      <c r="C47" s="3" t="s">
        <v>79</v>
      </c>
      <c r="D47" s="3" t="s">
        <v>207</v>
      </c>
      <c r="E47" s="110">
        <v>41232</v>
      </c>
      <c r="F47" s="111">
        <f t="shared" ca="1" si="0"/>
        <v>6</v>
      </c>
      <c r="G47" s="22">
        <f t="shared" si="10"/>
        <v>3745000</v>
      </c>
      <c r="H47" s="28" t="s">
        <v>236</v>
      </c>
      <c r="I47" s="28">
        <v>1</v>
      </c>
      <c r="J47" s="22">
        <f>SUMIFS(Sheet2!$C$1:$C$81,Sheet2!$A$1:$A$81,'Bang luong'!H47,Sheet2!$B$1:$B$81,'Bang luong'!I47)*1000</f>
        <v>3745000</v>
      </c>
      <c r="K47" s="77" t="e">
        <f>VLOOKUP(C47,CC!$C$5:$AJ$67,34,0)</f>
        <v>#N/A</v>
      </c>
      <c r="L47" s="22" t="e">
        <f t="shared" si="2"/>
        <v>#N/A</v>
      </c>
      <c r="M47" s="22" t="e">
        <f>VLOOKUP(C47,CC!$C$5:$AM$67,36,0)</f>
        <v>#N/A</v>
      </c>
      <c r="N47" s="22" t="e">
        <f>VLOOKUP(C47,CC!$C$5:$BS$67,69,0)</f>
        <v>#N/A</v>
      </c>
      <c r="O47" s="22" t="e">
        <f>VLOOKUP(C47,CC!$C$5:$BT$67,70,0)</f>
        <v>#N/A</v>
      </c>
      <c r="P47" s="22" t="e">
        <f>VLOOKUP(C47,CC!$C$5:$AM$67,37,0)</f>
        <v>#N/A</v>
      </c>
      <c r="Q47" s="22" t="e">
        <f t="shared" si="8"/>
        <v>#N/A</v>
      </c>
      <c r="R47" s="22" t="e">
        <f>VLOOKUP(C47,'Công tổng'!$C$53:$BY$67,66,0)-L47</f>
        <v>#N/A</v>
      </c>
      <c r="S47" s="22">
        <f t="shared" ca="1" si="11"/>
        <v>224700</v>
      </c>
      <c r="T47" s="22">
        <f ca="1">(100%-SUMIF('chuyên cần'!$C$6:$AP$31,'Bang luong'!C47,'chuyên cần'!$AP$7:$AP$31))*$T$3</f>
        <v>300000</v>
      </c>
      <c r="U47" s="22"/>
      <c r="V47" s="22"/>
      <c r="W47" s="22"/>
      <c r="X47" s="22"/>
      <c r="Y47" s="106" t="e">
        <f t="shared" ca="1" si="9"/>
        <v>#N/A</v>
      </c>
      <c r="Z47" s="106" t="e">
        <f>'ung luong'!#REF!</f>
        <v>#REF!</v>
      </c>
      <c r="AA47" s="106">
        <f t="shared" si="4"/>
        <v>348285</v>
      </c>
      <c r="AB47" s="106" t="e">
        <f t="shared" ca="1" si="5"/>
        <v>#N/A</v>
      </c>
      <c r="AC47" s="106" t="e">
        <f t="shared" ca="1" si="6"/>
        <v>#N/A</v>
      </c>
      <c r="AD47" s="193"/>
      <c r="AF47" s="31">
        <v>3317000</v>
      </c>
    </row>
    <row r="48" spans="1:32" ht="21" customHeight="1">
      <c r="A48" s="3">
        <v>39</v>
      </c>
      <c r="B48" s="3" t="s">
        <v>497</v>
      </c>
      <c r="C48" s="3" t="s">
        <v>501</v>
      </c>
      <c r="D48" s="3" t="s">
        <v>207</v>
      </c>
      <c r="E48" s="110">
        <v>42301</v>
      </c>
      <c r="F48" s="111">
        <f ca="1">IF(E48=0,0,INT((NOW()-E48)/365))</f>
        <v>3</v>
      </c>
      <c r="G48" s="22">
        <f t="shared" si="10"/>
        <v>3745000</v>
      </c>
      <c r="H48" s="28" t="s">
        <v>236</v>
      </c>
      <c r="I48" s="28">
        <v>1</v>
      </c>
      <c r="J48" s="22">
        <f>SUMIFS(Sheet2!$C$1:$C$81,Sheet2!$A$1:$A$81,'Bang luong'!H48,Sheet2!$B$1:$B$81,'Bang luong'!I48)*1000</f>
        <v>3745000</v>
      </c>
      <c r="K48" s="77" t="e">
        <f>VLOOKUP(C48,CC!$C$5:$AJ$67,34,0)</f>
        <v>#N/A</v>
      </c>
      <c r="L48" s="22" t="e">
        <f t="shared" si="2"/>
        <v>#N/A</v>
      </c>
      <c r="M48" s="22" t="e">
        <f>VLOOKUP(C48,CC!$C$5:$AM$67,36,0)</f>
        <v>#N/A</v>
      </c>
      <c r="N48" s="22" t="e">
        <f>VLOOKUP(C48,CC!$C$5:$BS$67,69,0)</f>
        <v>#N/A</v>
      </c>
      <c r="O48" s="22" t="e">
        <f>VLOOKUP(C48,CC!$C$5:$BT$67,70,0)</f>
        <v>#N/A</v>
      </c>
      <c r="P48" s="22" t="e">
        <f>VLOOKUP(C48,CC!$C$5:$AM$67,37,0)</f>
        <v>#N/A</v>
      </c>
      <c r="Q48" s="22" t="e">
        <f>((J48/26)*K48)+(M48*(J48/26))+((N48/8)*1.5*(J48/26))+((O48/8)*2*J48/26)+(P48*3*(J48/26))</f>
        <v>#N/A</v>
      </c>
      <c r="R48" s="22" t="e">
        <f>VLOOKUP(C48,'Công tổng'!$C$53:$BY$67,66,0)-L48</f>
        <v>#N/A</v>
      </c>
      <c r="S48" s="22">
        <f ca="1">IF((F48-$S$3)&gt;0,F48%*J48,0)</f>
        <v>112350</v>
      </c>
      <c r="T48" s="22">
        <f ca="1">(100%-SUMIF('chuyên cần'!$C$6:$AP$31,'Bang luong'!C48,'chuyên cần'!$AP$7:$AP$31))*$T$3</f>
        <v>300000</v>
      </c>
      <c r="U48" s="22"/>
      <c r="V48" s="22"/>
      <c r="W48" s="22"/>
      <c r="X48" s="22"/>
      <c r="Y48" s="106" t="e">
        <f t="shared" ca="1" si="9"/>
        <v>#N/A</v>
      </c>
      <c r="Z48" s="106" t="e">
        <f>'ung luong'!#REF!</f>
        <v>#REF!</v>
      </c>
      <c r="AA48" s="106">
        <f t="shared" si="4"/>
        <v>0</v>
      </c>
      <c r="AB48" s="106" t="e">
        <f t="shared" ca="1" si="5"/>
        <v>#N/A</v>
      </c>
      <c r="AC48" s="106" t="e">
        <f t="shared" ca="1" si="6"/>
        <v>#N/A</v>
      </c>
      <c r="AD48" s="193"/>
    </row>
    <row r="49" spans="1:32" ht="21" customHeight="1">
      <c r="A49" s="3">
        <v>40</v>
      </c>
      <c r="B49" s="3" t="s">
        <v>498</v>
      </c>
      <c r="C49" s="3" t="s">
        <v>502</v>
      </c>
      <c r="D49" s="3" t="s">
        <v>207</v>
      </c>
      <c r="E49" s="110">
        <v>42301</v>
      </c>
      <c r="F49" s="111">
        <f ca="1">IF(E49=0,0,INT((NOW()-E49)/365))</f>
        <v>3</v>
      </c>
      <c r="G49" s="22">
        <f t="shared" si="10"/>
        <v>3745000</v>
      </c>
      <c r="H49" s="28" t="s">
        <v>236</v>
      </c>
      <c r="I49" s="28">
        <v>1</v>
      </c>
      <c r="J49" s="22">
        <f>SUMIFS(Sheet2!$C$1:$C$81,Sheet2!$A$1:$A$81,'Bang luong'!H49,Sheet2!$B$1:$B$81,'Bang luong'!I49)*1000</f>
        <v>3745000</v>
      </c>
      <c r="K49" s="77" t="e">
        <f>VLOOKUP(C49,CC!$C$5:$AJ$67,34,0)</f>
        <v>#N/A</v>
      </c>
      <c r="L49" s="22" t="e">
        <f t="shared" si="2"/>
        <v>#N/A</v>
      </c>
      <c r="M49" s="22" t="e">
        <f>VLOOKUP(C49,CC!$C$5:$AM$67,36,0)</f>
        <v>#N/A</v>
      </c>
      <c r="N49" s="22" t="e">
        <f>VLOOKUP(C49,CC!$C$5:$BS$67,69,0)</f>
        <v>#N/A</v>
      </c>
      <c r="O49" s="22" t="e">
        <f>VLOOKUP(C49,CC!$C$5:$BT$67,70,0)</f>
        <v>#N/A</v>
      </c>
      <c r="P49" s="22" t="e">
        <f>VLOOKUP(C49,CC!$C$5:$AM$67,37,0)</f>
        <v>#N/A</v>
      </c>
      <c r="Q49" s="22" t="e">
        <f>((J49/26)*K49)+(M49*(J49/26))+((N49/8)*1.5*(J49/26))+((O49/8)*2*J49/26)+(P49*3*(J49/26))</f>
        <v>#N/A</v>
      </c>
      <c r="R49" s="22" t="e">
        <f>VLOOKUP(C49,'Công tổng'!$C$53:$BY$67,66,0)-L49</f>
        <v>#N/A</v>
      </c>
      <c r="S49" s="22">
        <f ca="1">IF((F49-$S$3)&gt;0,F49%*J49,0)</f>
        <v>112350</v>
      </c>
      <c r="T49" s="22">
        <f ca="1">(100%-SUMIF('chuyên cần'!$C$6:$AP$31,'Bang luong'!C49,'chuyên cần'!$AP$7:$AP$31))*$T$3</f>
        <v>300000</v>
      </c>
      <c r="U49" s="22"/>
      <c r="V49" s="22"/>
      <c r="W49" s="22"/>
      <c r="X49" s="22"/>
      <c r="Y49" s="106" t="e">
        <f t="shared" ca="1" si="9"/>
        <v>#N/A</v>
      </c>
      <c r="Z49" s="106" t="e">
        <f>'ung luong'!#REF!</f>
        <v>#REF!</v>
      </c>
      <c r="AA49" s="106">
        <f t="shared" si="4"/>
        <v>0</v>
      </c>
      <c r="AB49" s="106" t="e">
        <f t="shared" ca="1" si="5"/>
        <v>#N/A</v>
      </c>
      <c r="AC49" s="106" t="e">
        <f t="shared" ca="1" si="6"/>
        <v>#N/A</v>
      </c>
      <c r="AD49" s="193"/>
    </row>
    <row r="50" spans="1:32" hidden="1">
      <c r="A50" s="3">
        <v>87</v>
      </c>
      <c r="B50" s="3" t="s">
        <v>499</v>
      </c>
      <c r="C50" s="3"/>
      <c r="D50" s="3"/>
      <c r="E50" s="110"/>
      <c r="F50" s="111"/>
      <c r="G50" s="22"/>
      <c r="H50" s="28"/>
      <c r="I50" s="28"/>
      <c r="J50" s="22"/>
      <c r="K50" s="77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106">
        <f t="shared" si="9"/>
        <v>0</v>
      </c>
      <c r="Z50" s="106">
        <f>'ung luong'!F134</f>
        <v>328500000</v>
      </c>
      <c r="AA50" s="106">
        <f t="shared" si="4"/>
        <v>0</v>
      </c>
      <c r="AB50" s="106"/>
      <c r="AC50" s="106"/>
      <c r="AD50" s="193"/>
    </row>
    <row r="51" spans="1:32" hidden="1">
      <c r="A51" s="3">
        <v>88</v>
      </c>
      <c r="B51" s="3" t="s">
        <v>500</v>
      </c>
      <c r="C51" s="3"/>
      <c r="D51" s="3"/>
      <c r="E51" s="110"/>
      <c r="F51" s="111"/>
      <c r="G51" s="22"/>
      <c r="H51" s="28"/>
      <c r="I51" s="28"/>
      <c r="J51" s="22"/>
      <c r="K51" s="77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106">
        <f>Q51+R51+S51+T51+U51+V51+W51+X51</f>
        <v>0</v>
      </c>
      <c r="Z51" s="106" t="e">
        <f>'ung luong'!#REF!</f>
        <v>#REF!</v>
      </c>
      <c r="AA51" s="106">
        <f t="shared" si="4"/>
        <v>0</v>
      </c>
      <c r="AB51" s="106"/>
      <c r="AC51" s="106"/>
      <c r="AD51" s="193"/>
    </row>
    <row r="52" spans="1:32" s="182" customFormat="1" ht="15">
      <c r="A52" s="178"/>
      <c r="B52" s="178"/>
      <c r="C52" s="178" t="s">
        <v>543</v>
      </c>
      <c r="D52" s="178"/>
      <c r="E52" s="179"/>
      <c r="F52" s="180"/>
      <c r="G52" s="177"/>
      <c r="H52" s="181"/>
      <c r="I52" s="181"/>
      <c r="J52" s="177"/>
      <c r="K52" s="188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 t="e">
        <f ca="1">Y33+Y17+Y13+Y10+Y5</f>
        <v>#N/A</v>
      </c>
      <c r="Z52" s="177" t="e">
        <f>Z33+Z17+Z13+Z10+Z5</f>
        <v>#REF!</v>
      </c>
      <c r="AA52" s="177">
        <f>AA33+AA17+AA13+AA10+AA5</f>
        <v>6444195</v>
      </c>
      <c r="AB52" s="177" t="e">
        <f ca="1">AB33+AB17+AB13+AB10+AB5</f>
        <v>#N/A</v>
      </c>
      <c r="AC52" s="177" t="e">
        <f ca="1">AC33+AC17+AC13+AC10+AC5</f>
        <v>#N/A</v>
      </c>
      <c r="AD52" s="194"/>
      <c r="AE52" s="216"/>
      <c r="AF52" s="216"/>
    </row>
    <row r="53" spans="1:32">
      <c r="C53" s="31" t="s">
        <v>95</v>
      </c>
      <c r="Q53" s="31" t="s">
        <v>541</v>
      </c>
      <c r="X53" s="31" t="s">
        <v>539</v>
      </c>
    </row>
    <row r="54" spans="1:32">
      <c r="C54" s="31"/>
    </row>
    <row r="55" spans="1:32">
      <c r="C55" s="31"/>
    </row>
    <row r="56" spans="1:32">
      <c r="C56" s="31"/>
    </row>
    <row r="57" spans="1:32">
      <c r="C57" s="31"/>
    </row>
    <row r="58" spans="1:32" s="2" customFormat="1">
      <c r="C58" s="166" t="s">
        <v>542</v>
      </c>
      <c r="H58" s="168"/>
      <c r="I58" s="168"/>
      <c r="J58" s="166"/>
      <c r="K58" s="170"/>
      <c r="L58" s="166"/>
      <c r="M58" s="166"/>
      <c r="N58" s="166"/>
      <c r="O58" s="166"/>
      <c r="P58" s="166"/>
      <c r="Q58" s="166" t="s">
        <v>542</v>
      </c>
      <c r="R58" s="166"/>
      <c r="S58" s="166"/>
      <c r="T58" s="166"/>
      <c r="U58" s="166"/>
      <c r="V58" s="166"/>
      <c r="W58" s="166"/>
      <c r="X58" s="166" t="s">
        <v>540</v>
      </c>
      <c r="Y58" s="166"/>
      <c r="Z58" s="166"/>
      <c r="AA58" s="166"/>
      <c r="AB58" s="166"/>
      <c r="AC58" s="166"/>
      <c r="AE58" s="166"/>
      <c r="AF58" s="166"/>
    </row>
    <row r="60" spans="1:32">
      <c r="H60" s="1"/>
      <c r="I60" s="1"/>
      <c r="J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</sheetData>
  <autoFilter ref="A4:G47"/>
  <pageMargins left="0" right="0" top="0" bottom="0" header="0.31496062992125984" footer="0.31496062992125984"/>
  <pageSetup paperSize="9" scale="4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F491"/>
  <sheetViews>
    <sheetView topLeftCell="A31" workbookViewId="0">
      <selection activeCell="E1" sqref="E1"/>
    </sheetView>
  </sheetViews>
  <sheetFormatPr defaultRowHeight="13.8"/>
  <cols>
    <col min="1" max="2" width="9.109375" style="367"/>
    <col min="3" max="3" width="11.6640625" style="383" bestFit="1" customWidth="1"/>
    <col min="4" max="4" width="12.5546875" style="382" customWidth="1"/>
    <col min="5" max="258" width="9.109375" style="367"/>
    <col min="259" max="259" width="11.6640625" style="367" bestFit="1" customWidth="1"/>
    <col min="260" max="260" width="12.5546875" style="367" customWidth="1"/>
    <col min="261" max="514" width="9.109375" style="367"/>
    <col min="515" max="515" width="11.6640625" style="367" bestFit="1" customWidth="1"/>
    <col min="516" max="516" width="12.5546875" style="367" customWidth="1"/>
    <col min="517" max="770" width="9.109375" style="367"/>
    <col min="771" max="771" width="11.6640625" style="367" bestFit="1" customWidth="1"/>
    <col min="772" max="772" width="12.5546875" style="367" customWidth="1"/>
    <col min="773" max="1026" width="9.109375" style="367"/>
    <col min="1027" max="1027" width="11.6640625" style="367" bestFit="1" customWidth="1"/>
    <col min="1028" max="1028" width="12.5546875" style="367" customWidth="1"/>
    <col min="1029" max="1282" width="9.109375" style="367"/>
    <col min="1283" max="1283" width="11.6640625" style="367" bestFit="1" customWidth="1"/>
    <col min="1284" max="1284" width="12.5546875" style="367" customWidth="1"/>
    <col min="1285" max="1538" width="9.109375" style="367"/>
    <col min="1539" max="1539" width="11.6640625" style="367" bestFit="1" customWidth="1"/>
    <col min="1540" max="1540" width="12.5546875" style="367" customWidth="1"/>
    <col min="1541" max="1794" width="9.109375" style="367"/>
    <col min="1795" max="1795" width="11.6640625" style="367" bestFit="1" customWidth="1"/>
    <col min="1796" max="1796" width="12.5546875" style="367" customWidth="1"/>
    <col min="1797" max="2050" width="9.109375" style="367"/>
    <col min="2051" max="2051" width="11.6640625" style="367" bestFit="1" customWidth="1"/>
    <col min="2052" max="2052" width="12.5546875" style="367" customWidth="1"/>
    <col min="2053" max="2306" width="9.109375" style="367"/>
    <col min="2307" max="2307" width="11.6640625" style="367" bestFit="1" customWidth="1"/>
    <col min="2308" max="2308" width="12.5546875" style="367" customWidth="1"/>
    <col min="2309" max="2562" width="9.109375" style="367"/>
    <col min="2563" max="2563" width="11.6640625" style="367" bestFit="1" customWidth="1"/>
    <col min="2564" max="2564" width="12.5546875" style="367" customWidth="1"/>
    <col min="2565" max="2818" width="9.109375" style="367"/>
    <col min="2819" max="2819" width="11.6640625" style="367" bestFit="1" customWidth="1"/>
    <col min="2820" max="2820" width="12.5546875" style="367" customWidth="1"/>
    <col min="2821" max="3074" width="9.109375" style="367"/>
    <col min="3075" max="3075" width="11.6640625" style="367" bestFit="1" customWidth="1"/>
    <col min="3076" max="3076" width="12.5546875" style="367" customWidth="1"/>
    <col min="3077" max="3330" width="9.109375" style="367"/>
    <col min="3331" max="3331" width="11.6640625" style="367" bestFit="1" customWidth="1"/>
    <col min="3332" max="3332" width="12.5546875" style="367" customWidth="1"/>
    <col min="3333" max="3586" width="9.109375" style="367"/>
    <col min="3587" max="3587" width="11.6640625" style="367" bestFit="1" customWidth="1"/>
    <col min="3588" max="3588" width="12.5546875" style="367" customWidth="1"/>
    <col min="3589" max="3842" width="9.109375" style="367"/>
    <col min="3843" max="3843" width="11.6640625" style="367" bestFit="1" customWidth="1"/>
    <col min="3844" max="3844" width="12.5546875" style="367" customWidth="1"/>
    <col min="3845" max="4098" width="9.109375" style="367"/>
    <col min="4099" max="4099" width="11.6640625" style="367" bestFit="1" customWidth="1"/>
    <col min="4100" max="4100" width="12.5546875" style="367" customWidth="1"/>
    <col min="4101" max="4354" width="9.109375" style="367"/>
    <col min="4355" max="4355" width="11.6640625" style="367" bestFit="1" customWidth="1"/>
    <col min="4356" max="4356" width="12.5546875" style="367" customWidth="1"/>
    <col min="4357" max="4610" width="9.109375" style="367"/>
    <col min="4611" max="4611" width="11.6640625" style="367" bestFit="1" customWidth="1"/>
    <col min="4612" max="4612" width="12.5546875" style="367" customWidth="1"/>
    <col min="4613" max="4866" width="9.109375" style="367"/>
    <col min="4867" max="4867" width="11.6640625" style="367" bestFit="1" customWidth="1"/>
    <col min="4868" max="4868" width="12.5546875" style="367" customWidth="1"/>
    <col min="4869" max="5122" width="9.109375" style="367"/>
    <col min="5123" max="5123" width="11.6640625" style="367" bestFit="1" customWidth="1"/>
    <col min="5124" max="5124" width="12.5546875" style="367" customWidth="1"/>
    <col min="5125" max="5378" width="9.109375" style="367"/>
    <col min="5379" max="5379" width="11.6640625" style="367" bestFit="1" customWidth="1"/>
    <col min="5380" max="5380" width="12.5546875" style="367" customWidth="1"/>
    <col min="5381" max="5634" width="9.109375" style="367"/>
    <col min="5635" max="5635" width="11.6640625" style="367" bestFit="1" customWidth="1"/>
    <col min="5636" max="5636" width="12.5546875" style="367" customWidth="1"/>
    <col min="5637" max="5890" width="9.109375" style="367"/>
    <col min="5891" max="5891" width="11.6640625" style="367" bestFit="1" customWidth="1"/>
    <col min="5892" max="5892" width="12.5546875" style="367" customWidth="1"/>
    <col min="5893" max="6146" width="9.109375" style="367"/>
    <col min="6147" max="6147" width="11.6640625" style="367" bestFit="1" customWidth="1"/>
    <col min="6148" max="6148" width="12.5546875" style="367" customWidth="1"/>
    <col min="6149" max="6402" width="9.109375" style="367"/>
    <col min="6403" max="6403" width="11.6640625" style="367" bestFit="1" customWidth="1"/>
    <col min="6404" max="6404" width="12.5546875" style="367" customWidth="1"/>
    <col min="6405" max="6658" width="9.109375" style="367"/>
    <col min="6659" max="6659" width="11.6640625" style="367" bestFit="1" customWidth="1"/>
    <col min="6660" max="6660" width="12.5546875" style="367" customWidth="1"/>
    <col min="6661" max="6914" width="9.109375" style="367"/>
    <col min="6915" max="6915" width="11.6640625" style="367" bestFit="1" customWidth="1"/>
    <col min="6916" max="6916" width="12.5546875" style="367" customWidth="1"/>
    <col min="6917" max="7170" width="9.109375" style="367"/>
    <col min="7171" max="7171" width="11.6640625" style="367" bestFit="1" customWidth="1"/>
    <col min="7172" max="7172" width="12.5546875" style="367" customWidth="1"/>
    <col min="7173" max="7426" width="9.109375" style="367"/>
    <col min="7427" max="7427" width="11.6640625" style="367" bestFit="1" customWidth="1"/>
    <col min="7428" max="7428" width="12.5546875" style="367" customWidth="1"/>
    <col min="7429" max="7682" width="9.109375" style="367"/>
    <col min="7683" max="7683" width="11.6640625" style="367" bestFit="1" customWidth="1"/>
    <col min="7684" max="7684" width="12.5546875" style="367" customWidth="1"/>
    <col min="7685" max="7938" width="9.109375" style="367"/>
    <col min="7939" max="7939" width="11.6640625" style="367" bestFit="1" customWidth="1"/>
    <col min="7940" max="7940" width="12.5546875" style="367" customWidth="1"/>
    <col min="7941" max="8194" width="9.109375" style="367"/>
    <col min="8195" max="8195" width="11.6640625" style="367" bestFit="1" customWidth="1"/>
    <col min="8196" max="8196" width="12.5546875" style="367" customWidth="1"/>
    <col min="8197" max="8450" width="9.109375" style="367"/>
    <col min="8451" max="8451" width="11.6640625" style="367" bestFit="1" customWidth="1"/>
    <col min="8452" max="8452" width="12.5546875" style="367" customWidth="1"/>
    <col min="8453" max="8706" width="9.109375" style="367"/>
    <col min="8707" max="8707" width="11.6640625" style="367" bestFit="1" customWidth="1"/>
    <col min="8708" max="8708" width="12.5546875" style="367" customWidth="1"/>
    <col min="8709" max="8962" width="9.109375" style="367"/>
    <col min="8963" max="8963" width="11.6640625" style="367" bestFit="1" customWidth="1"/>
    <col min="8964" max="8964" width="12.5546875" style="367" customWidth="1"/>
    <col min="8965" max="9218" width="9.109375" style="367"/>
    <col min="9219" max="9219" width="11.6640625" style="367" bestFit="1" customWidth="1"/>
    <col min="9220" max="9220" width="12.5546875" style="367" customWidth="1"/>
    <col min="9221" max="9474" width="9.109375" style="367"/>
    <col min="9475" max="9475" width="11.6640625" style="367" bestFit="1" customWidth="1"/>
    <col min="9476" max="9476" width="12.5546875" style="367" customWidth="1"/>
    <col min="9477" max="9730" width="9.109375" style="367"/>
    <col min="9731" max="9731" width="11.6640625" style="367" bestFit="1" customWidth="1"/>
    <col min="9732" max="9732" width="12.5546875" style="367" customWidth="1"/>
    <col min="9733" max="9986" width="9.109375" style="367"/>
    <col min="9987" max="9987" width="11.6640625" style="367" bestFit="1" customWidth="1"/>
    <col min="9988" max="9988" width="12.5546875" style="367" customWidth="1"/>
    <col min="9989" max="10242" width="9.109375" style="367"/>
    <col min="10243" max="10243" width="11.6640625" style="367" bestFit="1" customWidth="1"/>
    <col min="10244" max="10244" width="12.5546875" style="367" customWidth="1"/>
    <col min="10245" max="10498" width="9.109375" style="367"/>
    <col min="10499" max="10499" width="11.6640625" style="367" bestFit="1" customWidth="1"/>
    <col min="10500" max="10500" width="12.5546875" style="367" customWidth="1"/>
    <col min="10501" max="10754" width="9.109375" style="367"/>
    <col min="10755" max="10755" width="11.6640625" style="367" bestFit="1" customWidth="1"/>
    <col min="10756" max="10756" width="12.5546875" style="367" customWidth="1"/>
    <col min="10757" max="11010" width="9.109375" style="367"/>
    <col min="11011" max="11011" width="11.6640625" style="367" bestFit="1" customWidth="1"/>
    <col min="11012" max="11012" width="12.5546875" style="367" customWidth="1"/>
    <col min="11013" max="11266" width="9.109375" style="367"/>
    <col min="11267" max="11267" width="11.6640625" style="367" bestFit="1" customWidth="1"/>
    <col min="11268" max="11268" width="12.5546875" style="367" customWidth="1"/>
    <col min="11269" max="11522" width="9.109375" style="367"/>
    <col min="11523" max="11523" width="11.6640625" style="367" bestFit="1" customWidth="1"/>
    <col min="11524" max="11524" width="12.5546875" style="367" customWidth="1"/>
    <col min="11525" max="11778" width="9.109375" style="367"/>
    <col min="11779" max="11779" width="11.6640625" style="367" bestFit="1" customWidth="1"/>
    <col min="11780" max="11780" width="12.5546875" style="367" customWidth="1"/>
    <col min="11781" max="12034" width="9.109375" style="367"/>
    <col min="12035" max="12035" width="11.6640625" style="367" bestFit="1" customWidth="1"/>
    <col min="12036" max="12036" width="12.5546875" style="367" customWidth="1"/>
    <col min="12037" max="12290" width="9.109375" style="367"/>
    <col min="12291" max="12291" width="11.6640625" style="367" bestFit="1" customWidth="1"/>
    <col min="12292" max="12292" width="12.5546875" style="367" customWidth="1"/>
    <col min="12293" max="12546" width="9.109375" style="367"/>
    <col min="12547" max="12547" width="11.6640625" style="367" bestFit="1" customWidth="1"/>
    <col min="12548" max="12548" width="12.5546875" style="367" customWidth="1"/>
    <col min="12549" max="12802" width="9.109375" style="367"/>
    <col min="12803" max="12803" width="11.6640625" style="367" bestFit="1" customWidth="1"/>
    <col min="12804" max="12804" width="12.5546875" style="367" customWidth="1"/>
    <col min="12805" max="13058" width="9.109375" style="367"/>
    <col min="13059" max="13059" width="11.6640625" style="367" bestFit="1" customWidth="1"/>
    <col min="13060" max="13060" width="12.5546875" style="367" customWidth="1"/>
    <col min="13061" max="13314" width="9.109375" style="367"/>
    <col min="13315" max="13315" width="11.6640625" style="367" bestFit="1" customWidth="1"/>
    <col min="13316" max="13316" width="12.5546875" style="367" customWidth="1"/>
    <col min="13317" max="13570" width="9.109375" style="367"/>
    <col min="13571" max="13571" width="11.6640625" style="367" bestFit="1" customWidth="1"/>
    <col min="13572" max="13572" width="12.5546875" style="367" customWidth="1"/>
    <col min="13573" max="13826" width="9.109375" style="367"/>
    <col min="13827" max="13827" width="11.6640625" style="367" bestFit="1" customWidth="1"/>
    <col min="13828" max="13828" width="12.5546875" style="367" customWidth="1"/>
    <col min="13829" max="14082" width="9.109375" style="367"/>
    <col min="14083" max="14083" width="11.6640625" style="367" bestFit="1" customWidth="1"/>
    <col min="14084" max="14084" width="12.5546875" style="367" customWidth="1"/>
    <col min="14085" max="14338" width="9.109375" style="367"/>
    <col min="14339" max="14339" width="11.6640625" style="367" bestFit="1" customWidth="1"/>
    <col min="14340" max="14340" width="12.5546875" style="367" customWidth="1"/>
    <col min="14341" max="14594" width="9.109375" style="367"/>
    <col min="14595" max="14595" width="11.6640625" style="367" bestFit="1" customWidth="1"/>
    <col min="14596" max="14596" width="12.5546875" style="367" customWidth="1"/>
    <col min="14597" max="14850" width="9.109375" style="367"/>
    <col min="14851" max="14851" width="11.6640625" style="367" bestFit="1" customWidth="1"/>
    <col min="14852" max="14852" width="12.5546875" style="367" customWidth="1"/>
    <col min="14853" max="15106" width="9.109375" style="367"/>
    <col min="15107" max="15107" width="11.6640625" style="367" bestFit="1" customWidth="1"/>
    <col min="15108" max="15108" width="12.5546875" style="367" customWidth="1"/>
    <col min="15109" max="15362" width="9.109375" style="367"/>
    <col min="15363" max="15363" width="11.6640625" style="367" bestFit="1" customWidth="1"/>
    <col min="15364" max="15364" width="12.5546875" style="367" customWidth="1"/>
    <col min="15365" max="15618" width="9.109375" style="367"/>
    <col min="15619" max="15619" width="11.6640625" style="367" bestFit="1" customWidth="1"/>
    <col min="15620" max="15620" width="12.5546875" style="367" customWidth="1"/>
    <col min="15621" max="15874" width="9.109375" style="367"/>
    <col min="15875" max="15875" width="11.6640625" style="367" bestFit="1" customWidth="1"/>
    <col min="15876" max="15876" width="12.5546875" style="367" customWidth="1"/>
    <col min="15877" max="16130" width="9.109375" style="367"/>
    <col min="16131" max="16131" width="11.6640625" style="367" bestFit="1" customWidth="1"/>
    <col min="16132" max="16132" width="12.5546875" style="367" customWidth="1"/>
    <col min="16133" max="16384" width="9.109375" style="367"/>
  </cols>
  <sheetData>
    <row r="1" spans="2:6">
      <c r="C1" s="368" t="s">
        <v>675</v>
      </c>
      <c r="D1" s="369" t="s">
        <v>676</v>
      </c>
    </row>
    <row r="2" spans="2:6">
      <c r="C2" s="370">
        <v>0</v>
      </c>
      <c r="D2" s="371">
        <v>0</v>
      </c>
      <c r="E2" s="372">
        <v>0.01</v>
      </c>
      <c r="F2" s="367" t="s">
        <v>677</v>
      </c>
    </row>
    <row r="3" spans="2:6">
      <c r="C3" s="373">
        <v>1</v>
      </c>
      <c r="D3" s="374">
        <v>0</v>
      </c>
    </row>
    <row r="4" spans="2:6">
      <c r="C4" s="373">
        <v>2</v>
      </c>
      <c r="D4" s="374">
        <v>0</v>
      </c>
    </row>
    <row r="5" spans="2:6">
      <c r="C5" s="373">
        <v>3</v>
      </c>
      <c r="D5" s="374">
        <v>0</v>
      </c>
    </row>
    <row r="6" spans="2:6">
      <c r="C6" s="373">
        <v>4</v>
      </c>
      <c r="D6" s="374">
        <v>0</v>
      </c>
    </row>
    <row r="7" spans="2:6">
      <c r="C7" s="373">
        <v>5</v>
      </c>
      <c r="D7" s="374">
        <v>0</v>
      </c>
    </row>
    <row r="8" spans="2:6">
      <c r="C8" s="373">
        <v>6</v>
      </c>
      <c r="D8" s="374">
        <v>0</v>
      </c>
    </row>
    <row r="9" spans="2:6">
      <c r="C9" s="373">
        <v>7</v>
      </c>
      <c r="D9" s="374">
        <v>0</v>
      </c>
    </row>
    <row r="10" spans="2:6">
      <c r="C10" s="373">
        <v>8</v>
      </c>
      <c r="D10" s="374">
        <v>0</v>
      </c>
    </row>
    <row r="11" spans="2:6">
      <c r="C11" s="373">
        <v>9</v>
      </c>
      <c r="D11" s="374">
        <v>0</v>
      </c>
    </row>
    <row r="12" spans="2:6">
      <c r="C12" s="373">
        <v>10</v>
      </c>
      <c r="D12" s="374">
        <v>0</v>
      </c>
    </row>
    <row r="13" spans="2:6">
      <c r="C13" s="373">
        <v>11</v>
      </c>
      <c r="D13" s="374">
        <v>0</v>
      </c>
    </row>
    <row r="14" spans="2:6">
      <c r="C14" s="373">
        <v>12</v>
      </c>
      <c r="D14" s="374">
        <v>0</v>
      </c>
    </row>
    <row r="15" spans="2:6">
      <c r="B15" s="367">
        <f>+C15</f>
        <v>13</v>
      </c>
      <c r="C15" s="370">
        <v>13</v>
      </c>
      <c r="D15" s="374">
        <v>0</v>
      </c>
    </row>
    <row r="16" spans="2:6">
      <c r="C16" s="373">
        <v>14</v>
      </c>
      <c r="D16" s="374">
        <v>0</v>
      </c>
    </row>
    <row r="17" spans="2:4">
      <c r="C17" s="373">
        <v>15</v>
      </c>
      <c r="D17" s="374">
        <v>0</v>
      </c>
    </row>
    <row r="18" spans="2:4">
      <c r="C18" s="373">
        <v>16</v>
      </c>
      <c r="D18" s="374">
        <v>0</v>
      </c>
    </row>
    <row r="19" spans="2:4">
      <c r="C19" s="373">
        <v>17</v>
      </c>
      <c r="D19" s="374">
        <v>0</v>
      </c>
    </row>
    <row r="20" spans="2:4">
      <c r="C20" s="373">
        <v>18</v>
      </c>
      <c r="D20" s="374">
        <v>0</v>
      </c>
    </row>
    <row r="21" spans="2:4">
      <c r="C21" s="373">
        <v>19</v>
      </c>
      <c r="D21" s="374">
        <v>0</v>
      </c>
    </row>
    <row r="22" spans="2:4">
      <c r="C22" s="373">
        <v>20</v>
      </c>
      <c r="D22" s="374">
        <v>0</v>
      </c>
    </row>
    <row r="23" spans="2:4">
      <c r="C23" s="373">
        <v>21</v>
      </c>
      <c r="D23" s="374">
        <v>0</v>
      </c>
    </row>
    <row r="24" spans="2:4">
      <c r="C24" s="373">
        <v>22</v>
      </c>
      <c r="D24" s="374">
        <v>0</v>
      </c>
    </row>
    <row r="25" spans="2:4">
      <c r="C25" s="373">
        <v>23</v>
      </c>
      <c r="D25" s="374">
        <v>0</v>
      </c>
    </row>
    <row r="26" spans="2:4">
      <c r="C26" s="373">
        <v>24</v>
      </c>
      <c r="D26" s="374">
        <v>0</v>
      </c>
    </row>
    <row r="27" spans="2:4">
      <c r="B27" s="367">
        <f>B15+12</f>
        <v>25</v>
      </c>
      <c r="C27" s="370">
        <v>25</v>
      </c>
      <c r="D27" s="374">
        <v>0</v>
      </c>
    </row>
    <row r="28" spans="2:4">
      <c r="C28" s="373">
        <v>26</v>
      </c>
      <c r="D28" s="374">
        <v>0</v>
      </c>
    </row>
    <row r="29" spans="2:4">
      <c r="C29" s="373">
        <v>27</v>
      </c>
      <c r="D29" s="374">
        <v>0</v>
      </c>
    </row>
    <row r="30" spans="2:4">
      <c r="C30" s="373">
        <v>28</v>
      </c>
      <c r="D30" s="374">
        <v>0</v>
      </c>
    </row>
    <row r="31" spans="2:4">
      <c r="C31" s="373">
        <v>29</v>
      </c>
      <c r="D31" s="374">
        <v>0</v>
      </c>
    </row>
    <row r="32" spans="2:4">
      <c r="C32" s="373">
        <v>30</v>
      </c>
      <c r="D32" s="374">
        <v>0</v>
      </c>
    </row>
    <row r="33" spans="2:4">
      <c r="C33" s="373">
        <v>31</v>
      </c>
      <c r="D33" s="374">
        <v>0</v>
      </c>
    </row>
    <row r="34" spans="2:4">
      <c r="C34" s="373">
        <v>32</v>
      </c>
      <c r="D34" s="374">
        <v>0</v>
      </c>
    </row>
    <row r="35" spans="2:4">
      <c r="C35" s="373">
        <v>33</v>
      </c>
      <c r="D35" s="374">
        <v>0</v>
      </c>
    </row>
    <row r="36" spans="2:4">
      <c r="C36" s="373">
        <v>34</v>
      </c>
      <c r="D36" s="374">
        <v>0</v>
      </c>
    </row>
    <row r="37" spans="2:4">
      <c r="C37" s="373">
        <v>35</v>
      </c>
      <c r="D37" s="374">
        <v>0</v>
      </c>
    </row>
    <row r="38" spans="2:4">
      <c r="C38" s="373">
        <v>36</v>
      </c>
      <c r="D38" s="374">
        <v>0</v>
      </c>
    </row>
    <row r="39" spans="2:4">
      <c r="B39" s="367">
        <f>B27+12</f>
        <v>37</v>
      </c>
      <c r="C39" s="370">
        <v>37</v>
      </c>
      <c r="D39" s="371">
        <v>0.03</v>
      </c>
    </row>
    <row r="40" spans="2:4">
      <c r="C40" s="373">
        <v>38</v>
      </c>
      <c r="D40" s="374">
        <f>$D$39</f>
        <v>0.03</v>
      </c>
    </row>
    <row r="41" spans="2:4">
      <c r="C41" s="373">
        <v>39</v>
      </c>
      <c r="D41" s="374">
        <f t="shared" ref="D41:D50" si="0">$D$39</f>
        <v>0.03</v>
      </c>
    </row>
    <row r="42" spans="2:4">
      <c r="C42" s="373">
        <v>40</v>
      </c>
      <c r="D42" s="374">
        <f t="shared" si="0"/>
        <v>0.03</v>
      </c>
    </row>
    <row r="43" spans="2:4">
      <c r="C43" s="373">
        <v>41</v>
      </c>
      <c r="D43" s="374">
        <f t="shared" si="0"/>
        <v>0.03</v>
      </c>
    </row>
    <row r="44" spans="2:4">
      <c r="C44" s="373">
        <v>42</v>
      </c>
      <c r="D44" s="374">
        <f t="shared" si="0"/>
        <v>0.03</v>
      </c>
    </row>
    <row r="45" spans="2:4">
      <c r="C45" s="373">
        <v>43</v>
      </c>
      <c r="D45" s="374">
        <f t="shared" si="0"/>
        <v>0.03</v>
      </c>
    </row>
    <row r="46" spans="2:4">
      <c r="C46" s="373">
        <v>44</v>
      </c>
      <c r="D46" s="374">
        <f t="shared" si="0"/>
        <v>0.03</v>
      </c>
    </row>
    <row r="47" spans="2:4">
      <c r="C47" s="373">
        <v>45</v>
      </c>
      <c r="D47" s="374">
        <f t="shared" si="0"/>
        <v>0.03</v>
      </c>
    </row>
    <row r="48" spans="2:4">
      <c r="C48" s="373">
        <v>46</v>
      </c>
      <c r="D48" s="374">
        <f t="shared" si="0"/>
        <v>0.03</v>
      </c>
    </row>
    <row r="49" spans="2:4">
      <c r="C49" s="373">
        <v>47</v>
      </c>
      <c r="D49" s="374">
        <f t="shared" si="0"/>
        <v>0.03</v>
      </c>
    </row>
    <row r="50" spans="2:4">
      <c r="C50" s="373">
        <v>48</v>
      </c>
      <c r="D50" s="374">
        <f t="shared" si="0"/>
        <v>0.03</v>
      </c>
    </row>
    <row r="51" spans="2:4">
      <c r="B51" s="367">
        <f>B39+12</f>
        <v>49</v>
      </c>
      <c r="C51" s="370">
        <v>49</v>
      </c>
      <c r="D51" s="371">
        <f>D39+$E$2</f>
        <v>0.04</v>
      </c>
    </row>
    <row r="52" spans="2:4">
      <c r="C52" s="373">
        <v>50</v>
      </c>
      <c r="D52" s="374">
        <f>$D$51</f>
        <v>0.04</v>
      </c>
    </row>
    <row r="53" spans="2:4">
      <c r="C53" s="373">
        <v>51</v>
      </c>
      <c r="D53" s="374">
        <f t="shared" ref="D53:D62" si="1">$D$51</f>
        <v>0.04</v>
      </c>
    </row>
    <row r="54" spans="2:4">
      <c r="C54" s="373">
        <v>52</v>
      </c>
      <c r="D54" s="374">
        <f t="shared" si="1"/>
        <v>0.04</v>
      </c>
    </row>
    <row r="55" spans="2:4">
      <c r="C55" s="373">
        <v>53</v>
      </c>
      <c r="D55" s="374">
        <f t="shared" si="1"/>
        <v>0.04</v>
      </c>
    </row>
    <row r="56" spans="2:4">
      <c r="C56" s="373">
        <v>54</v>
      </c>
      <c r="D56" s="374">
        <f t="shared" si="1"/>
        <v>0.04</v>
      </c>
    </row>
    <row r="57" spans="2:4">
      <c r="C57" s="373">
        <v>55</v>
      </c>
      <c r="D57" s="374">
        <f t="shared" si="1"/>
        <v>0.04</v>
      </c>
    </row>
    <row r="58" spans="2:4">
      <c r="C58" s="373">
        <v>56</v>
      </c>
      <c r="D58" s="374">
        <f t="shared" si="1"/>
        <v>0.04</v>
      </c>
    </row>
    <row r="59" spans="2:4">
      <c r="C59" s="373">
        <v>57</v>
      </c>
      <c r="D59" s="374">
        <f t="shared" si="1"/>
        <v>0.04</v>
      </c>
    </row>
    <row r="60" spans="2:4">
      <c r="C60" s="373">
        <v>58</v>
      </c>
      <c r="D60" s="374">
        <f t="shared" si="1"/>
        <v>0.04</v>
      </c>
    </row>
    <row r="61" spans="2:4">
      <c r="C61" s="373">
        <v>59</v>
      </c>
      <c r="D61" s="374">
        <f t="shared" si="1"/>
        <v>0.04</v>
      </c>
    </row>
    <row r="62" spans="2:4">
      <c r="C62" s="373">
        <v>60</v>
      </c>
      <c r="D62" s="374">
        <f t="shared" si="1"/>
        <v>0.04</v>
      </c>
    </row>
    <row r="63" spans="2:4">
      <c r="B63" s="367">
        <f>B51+12</f>
        <v>61</v>
      </c>
      <c r="C63" s="370">
        <v>61</v>
      </c>
      <c r="D63" s="371">
        <f>D51+$E$2</f>
        <v>0.05</v>
      </c>
    </row>
    <row r="64" spans="2:4">
      <c r="C64" s="373">
        <v>62</v>
      </c>
      <c r="D64" s="374">
        <f>$D$63</f>
        <v>0.05</v>
      </c>
    </row>
    <row r="65" spans="2:4">
      <c r="C65" s="373">
        <v>63</v>
      </c>
      <c r="D65" s="374">
        <f t="shared" ref="D65:D74" si="2">$D$63</f>
        <v>0.05</v>
      </c>
    </row>
    <row r="66" spans="2:4">
      <c r="C66" s="373">
        <v>64</v>
      </c>
      <c r="D66" s="374">
        <f t="shared" si="2"/>
        <v>0.05</v>
      </c>
    </row>
    <row r="67" spans="2:4">
      <c r="C67" s="373">
        <v>65</v>
      </c>
      <c r="D67" s="374">
        <f t="shared" si="2"/>
        <v>0.05</v>
      </c>
    </row>
    <row r="68" spans="2:4">
      <c r="C68" s="373">
        <v>66</v>
      </c>
      <c r="D68" s="374">
        <f t="shared" si="2"/>
        <v>0.05</v>
      </c>
    </row>
    <row r="69" spans="2:4">
      <c r="C69" s="373">
        <v>67</v>
      </c>
      <c r="D69" s="374">
        <f t="shared" si="2"/>
        <v>0.05</v>
      </c>
    </row>
    <row r="70" spans="2:4">
      <c r="C70" s="373">
        <v>68</v>
      </c>
      <c r="D70" s="374">
        <f t="shared" si="2"/>
        <v>0.05</v>
      </c>
    </row>
    <row r="71" spans="2:4">
      <c r="C71" s="373">
        <v>69</v>
      </c>
      <c r="D71" s="374">
        <f t="shared" si="2"/>
        <v>0.05</v>
      </c>
    </row>
    <row r="72" spans="2:4">
      <c r="C72" s="373">
        <v>70</v>
      </c>
      <c r="D72" s="374">
        <f t="shared" si="2"/>
        <v>0.05</v>
      </c>
    </row>
    <row r="73" spans="2:4">
      <c r="C73" s="373">
        <v>71</v>
      </c>
      <c r="D73" s="374">
        <f t="shared" si="2"/>
        <v>0.05</v>
      </c>
    </row>
    <row r="74" spans="2:4">
      <c r="C74" s="373">
        <v>72</v>
      </c>
      <c r="D74" s="374">
        <f t="shared" si="2"/>
        <v>0.05</v>
      </c>
    </row>
    <row r="75" spans="2:4">
      <c r="B75" s="367">
        <f>B63+12</f>
        <v>73</v>
      </c>
      <c r="C75" s="370">
        <v>73</v>
      </c>
      <c r="D75" s="371">
        <f>D63+$E$2</f>
        <v>6.0000000000000005E-2</v>
      </c>
    </row>
    <row r="76" spans="2:4">
      <c r="C76" s="373">
        <v>74</v>
      </c>
      <c r="D76" s="374">
        <f>$D$75</f>
        <v>6.0000000000000005E-2</v>
      </c>
    </row>
    <row r="77" spans="2:4">
      <c r="C77" s="373">
        <v>75</v>
      </c>
      <c r="D77" s="374">
        <f t="shared" ref="D77:D86" si="3">$D$75</f>
        <v>6.0000000000000005E-2</v>
      </c>
    </row>
    <row r="78" spans="2:4">
      <c r="C78" s="373">
        <v>76</v>
      </c>
      <c r="D78" s="374">
        <f t="shared" si="3"/>
        <v>6.0000000000000005E-2</v>
      </c>
    </row>
    <row r="79" spans="2:4">
      <c r="C79" s="373">
        <v>77</v>
      </c>
      <c r="D79" s="374">
        <f t="shared" si="3"/>
        <v>6.0000000000000005E-2</v>
      </c>
    </row>
    <row r="80" spans="2:4">
      <c r="C80" s="373">
        <v>78</v>
      </c>
      <c r="D80" s="374">
        <f t="shared" si="3"/>
        <v>6.0000000000000005E-2</v>
      </c>
    </row>
    <row r="81" spans="2:4">
      <c r="C81" s="373">
        <v>79</v>
      </c>
      <c r="D81" s="374">
        <f t="shared" si="3"/>
        <v>6.0000000000000005E-2</v>
      </c>
    </row>
    <row r="82" spans="2:4">
      <c r="C82" s="373">
        <v>80</v>
      </c>
      <c r="D82" s="374">
        <f t="shared" si="3"/>
        <v>6.0000000000000005E-2</v>
      </c>
    </row>
    <row r="83" spans="2:4">
      <c r="C83" s="373">
        <v>81</v>
      </c>
      <c r="D83" s="374">
        <f t="shared" si="3"/>
        <v>6.0000000000000005E-2</v>
      </c>
    </row>
    <row r="84" spans="2:4">
      <c r="C84" s="373">
        <v>82</v>
      </c>
      <c r="D84" s="374">
        <f t="shared" si="3"/>
        <v>6.0000000000000005E-2</v>
      </c>
    </row>
    <row r="85" spans="2:4">
      <c r="C85" s="373">
        <v>83</v>
      </c>
      <c r="D85" s="374">
        <f t="shared" si="3"/>
        <v>6.0000000000000005E-2</v>
      </c>
    </row>
    <row r="86" spans="2:4">
      <c r="C86" s="373">
        <v>84</v>
      </c>
      <c r="D86" s="374">
        <f t="shared" si="3"/>
        <v>6.0000000000000005E-2</v>
      </c>
    </row>
    <row r="87" spans="2:4">
      <c r="B87" s="367">
        <f>B75+12</f>
        <v>85</v>
      </c>
      <c r="C87" s="370">
        <v>85</v>
      </c>
      <c r="D87" s="371">
        <f>D75+$E$2</f>
        <v>7.0000000000000007E-2</v>
      </c>
    </row>
    <row r="88" spans="2:4">
      <c r="C88" s="373">
        <v>86</v>
      </c>
      <c r="D88" s="374">
        <f>$D$87</f>
        <v>7.0000000000000007E-2</v>
      </c>
    </row>
    <row r="89" spans="2:4">
      <c r="C89" s="373">
        <v>87</v>
      </c>
      <c r="D89" s="374">
        <f t="shared" ref="D89:D98" si="4">$D$87</f>
        <v>7.0000000000000007E-2</v>
      </c>
    </row>
    <row r="90" spans="2:4">
      <c r="C90" s="373">
        <v>88</v>
      </c>
      <c r="D90" s="374">
        <f t="shared" si="4"/>
        <v>7.0000000000000007E-2</v>
      </c>
    </row>
    <row r="91" spans="2:4">
      <c r="C91" s="373">
        <v>89</v>
      </c>
      <c r="D91" s="374">
        <f t="shared" si="4"/>
        <v>7.0000000000000007E-2</v>
      </c>
    </row>
    <row r="92" spans="2:4">
      <c r="C92" s="373">
        <v>90</v>
      </c>
      <c r="D92" s="374">
        <f t="shared" si="4"/>
        <v>7.0000000000000007E-2</v>
      </c>
    </row>
    <row r="93" spans="2:4">
      <c r="C93" s="373">
        <v>91</v>
      </c>
      <c r="D93" s="374">
        <f t="shared" si="4"/>
        <v>7.0000000000000007E-2</v>
      </c>
    </row>
    <row r="94" spans="2:4">
      <c r="C94" s="373">
        <v>92</v>
      </c>
      <c r="D94" s="374">
        <f t="shared" si="4"/>
        <v>7.0000000000000007E-2</v>
      </c>
    </row>
    <row r="95" spans="2:4">
      <c r="C95" s="373">
        <v>93</v>
      </c>
      <c r="D95" s="374">
        <f t="shared" si="4"/>
        <v>7.0000000000000007E-2</v>
      </c>
    </row>
    <row r="96" spans="2:4">
      <c r="C96" s="373">
        <v>94</v>
      </c>
      <c r="D96" s="374">
        <f t="shared" si="4"/>
        <v>7.0000000000000007E-2</v>
      </c>
    </row>
    <row r="97" spans="2:4">
      <c r="C97" s="373">
        <v>95</v>
      </c>
      <c r="D97" s="374">
        <f t="shared" si="4"/>
        <v>7.0000000000000007E-2</v>
      </c>
    </row>
    <row r="98" spans="2:4">
      <c r="C98" s="373">
        <v>96</v>
      </c>
      <c r="D98" s="374">
        <f t="shared" si="4"/>
        <v>7.0000000000000007E-2</v>
      </c>
    </row>
    <row r="99" spans="2:4">
      <c r="B99" s="367">
        <f>B87+12</f>
        <v>97</v>
      </c>
      <c r="C99" s="370">
        <v>97</v>
      </c>
      <c r="D99" s="371">
        <f>D87+$E$2</f>
        <v>0.08</v>
      </c>
    </row>
    <row r="100" spans="2:4">
      <c r="C100" s="373">
        <v>98</v>
      </c>
      <c r="D100" s="374">
        <f>$D$99</f>
        <v>0.08</v>
      </c>
    </row>
    <row r="101" spans="2:4">
      <c r="C101" s="373">
        <v>99</v>
      </c>
      <c r="D101" s="374">
        <f t="shared" ref="D101:D110" si="5">$D$99</f>
        <v>0.08</v>
      </c>
    </row>
    <row r="102" spans="2:4">
      <c r="C102" s="373">
        <v>100</v>
      </c>
      <c r="D102" s="374">
        <f t="shared" si="5"/>
        <v>0.08</v>
      </c>
    </row>
    <row r="103" spans="2:4">
      <c r="C103" s="373">
        <v>101</v>
      </c>
      <c r="D103" s="374">
        <f t="shared" si="5"/>
        <v>0.08</v>
      </c>
    </row>
    <row r="104" spans="2:4">
      <c r="C104" s="373">
        <v>102</v>
      </c>
      <c r="D104" s="374">
        <f t="shared" si="5"/>
        <v>0.08</v>
      </c>
    </row>
    <row r="105" spans="2:4">
      <c r="C105" s="373">
        <v>103</v>
      </c>
      <c r="D105" s="374">
        <f t="shared" si="5"/>
        <v>0.08</v>
      </c>
    </row>
    <row r="106" spans="2:4">
      <c r="C106" s="373">
        <v>104</v>
      </c>
      <c r="D106" s="374">
        <f t="shared" si="5"/>
        <v>0.08</v>
      </c>
    </row>
    <row r="107" spans="2:4">
      <c r="C107" s="373">
        <v>105</v>
      </c>
      <c r="D107" s="374">
        <f t="shared" si="5"/>
        <v>0.08</v>
      </c>
    </row>
    <row r="108" spans="2:4">
      <c r="C108" s="373">
        <v>106</v>
      </c>
      <c r="D108" s="374">
        <f t="shared" si="5"/>
        <v>0.08</v>
      </c>
    </row>
    <row r="109" spans="2:4">
      <c r="C109" s="373">
        <v>107</v>
      </c>
      <c r="D109" s="374">
        <f t="shared" si="5"/>
        <v>0.08</v>
      </c>
    </row>
    <row r="110" spans="2:4">
      <c r="C110" s="373">
        <v>108</v>
      </c>
      <c r="D110" s="374">
        <f t="shared" si="5"/>
        <v>0.08</v>
      </c>
    </row>
    <row r="111" spans="2:4">
      <c r="B111" s="367">
        <f>B99+12</f>
        <v>109</v>
      </c>
      <c r="C111" s="370">
        <v>109</v>
      </c>
      <c r="D111" s="371">
        <f>D99+$E$2</f>
        <v>0.09</v>
      </c>
    </row>
    <row r="112" spans="2:4">
      <c r="C112" s="373">
        <v>110</v>
      </c>
      <c r="D112" s="374">
        <f>$D$111</f>
        <v>0.09</v>
      </c>
    </row>
    <row r="113" spans="2:4">
      <c r="C113" s="373">
        <v>111</v>
      </c>
      <c r="D113" s="374">
        <f t="shared" ref="D113:D122" si="6">$D$111</f>
        <v>0.09</v>
      </c>
    </row>
    <row r="114" spans="2:4">
      <c r="C114" s="373">
        <v>112</v>
      </c>
      <c r="D114" s="374">
        <f t="shared" si="6"/>
        <v>0.09</v>
      </c>
    </row>
    <row r="115" spans="2:4">
      <c r="C115" s="373">
        <v>113</v>
      </c>
      <c r="D115" s="374">
        <f t="shared" si="6"/>
        <v>0.09</v>
      </c>
    </row>
    <row r="116" spans="2:4">
      <c r="C116" s="373">
        <v>114</v>
      </c>
      <c r="D116" s="374">
        <f t="shared" si="6"/>
        <v>0.09</v>
      </c>
    </row>
    <row r="117" spans="2:4">
      <c r="C117" s="373">
        <v>115</v>
      </c>
      <c r="D117" s="374">
        <f t="shared" si="6"/>
        <v>0.09</v>
      </c>
    </row>
    <row r="118" spans="2:4">
      <c r="C118" s="373">
        <v>116</v>
      </c>
      <c r="D118" s="374">
        <f t="shared" si="6"/>
        <v>0.09</v>
      </c>
    </row>
    <row r="119" spans="2:4">
      <c r="C119" s="373">
        <v>117</v>
      </c>
      <c r="D119" s="374">
        <f t="shared" si="6"/>
        <v>0.09</v>
      </c>
    </row>
    <row r="120" spans="2:4">
      <c r="C120" s="373">
        <v>118</v>
      </c>
      <c r="D120" s="374">
        <f t="shared" si="6"/>
        <v>0.09</v>
      </c>
    </row>
    <row r="121" spans="2:4">
      <c r="C121" s="373">
        <v>119</v>
      </c>
      <c r="D121" s="374">
        <f t="shared" si="6"/>
        <v>0.09</v>
      </c>
    </row>
    <row r="122" spans="2:4">
      <c r="C122" s="373">
        <v>120</v>
      </c>
      <c r="D122" s="374">
        <f t="shared" si="6"/>
        <v>0.09</v>
      </c>
    </row>
    <row r="123" spans="2:4">
      <c r="B123" s="367">
        <f>B111+12</f>
        <v>121</v>
      </c>
      <c r="C123" s="370">
        <v>121</v>
      </c>
      <c r="D123" s="371">
        <f>D111+$E$2</f>
        <v>9.9999999999999992E-2</v>
      </c>
    </row>
    <row r="124" spans="2:4">
      <c r="C124" s="373">
        <v>122</v>
      </c>
      <c r="D124" s="374">
        <f>$D$123</f>
        <v>9.9999999999999992E-2</v>
      </c>
    </row>
    <row r="125" spans="2:4">
      <c r="C125" s="373">
        <v>123</v>
      </c>
      <c r="D125" s="374">
        <f t="shared" ref="D125:D134" si="7">$D$123</f>
        <v>9.9999999999999992E-2</v>
      </c>
    </row>
    <row r="126" spans="2:4">
      <c r="C126" s="373">
        <v>124</v>
      </c>
      <c r="D126" s="374">
        <f t="shared" si="7"/>
        <v>9.9999999999999992E-2</v>
      </c>
    </row>
    <row r="127" spans="2:4">
      <c r="C127" s="373">
        <v>125</v>
      </c>
      <c r="D127" s="374">
        <f t="shared" si="7"/>
        <v>9.9999999999999992E-2</v>
      </c>
    </row>
    <row r="128" spans="2:4">
      <c r="C128" s="373">
        <v>126</v>
      </c>
      <c r="D128" s="374">
        <f t="shared" si="7"/>
        <v>9.9999999999999992E-2</v>
      </c>
    </row>
    <row r="129" spans="2:4">
      <c r="C129" s="373">
        <v>127</v>
      </c>
      <c r="D129" s="374">
        <f t="shared" si="7"/>
        <v>9.9999999999999992E-2</v>
      </c>
    </row>
    <row r="130" spans="2:4">
      <c r="C130" s="373">
        <v>128</v>
      </c>
      <c r="D130" s="374">
        <f t="shared" si="7"/>
        <v>9.9999999999999992E-2</v>
      </c>
    </row>
    <row r="131" spans="2:4">
      <c r="C131" s="373">
        <v>129</v>
      </c>
      <c r="D131" s="374">
        <f t="shared" si="7"/>
        <v>9.9999999999999992E-2</v>
      </c>
    </row>
    <row r="132" spans="2:4">
      <c r="C132" s="373">
        <v>130</v>
      </c>
      <c r="D132" s="374">
        <f t="shared" si="7"/>
        <v>9.9999999999999992E-2</v>
      </c>
    </row>
    <row r="133" spans="2:4">
      <c r="C133" s="373">
        <v>131</v>
      </c>
      <c r="D133" s="374">
        <f t="shared" si="7"/>
        <v>9.9999999999999992E-2</v>
      </c>
    </row>
    <row r="134" spans="2:4">
      <c r="C134" s="373">
        <v>132</v>
      </c>
      <c r="D134" s="374">
        <f t="shared" si="7"/>
        <v>9.9999999999999992E-2</v>
      </c>
    </row>
    <row r="135" spans="2:4">
      <c r="B135" s="367">
        <f>B123+12</f>
        <v>133</v>
      </c>
      <c r="C135" s="370">
        <v>133</v>
      </c>
      <c r="D135" s="371">
        <f>D123+$E$2</f>
        <v>0.10999999999999999</v>
      </c>
    </row>
    <row r="136" spans="2:4">
      <c r="C136" s="373">
        <v>134</v>
      </c>
      <c r="D136" s="374">
        <f>$D$135</f>
        <v>0.10999999999999999</v>
      </c>
    </row>
    <row r="137" spans="2:4">
      <c r="C137" s="373">
        <v>135</v>
      </c>
      <c r="D137" s="374">
        <f t="shared" ref="D137:D146" si="8">$D$135</f>
        <v>0.10999999999999999</v>
      </c>
    </row>
    <row r="138" spans="2:4">
      <c r="C138" s="373">
        <v>136</v>
      </c>
      <c r="D138" s="374">
        <f t="shared" si="8"/>
        <v>0.10999999999999999</v>
      </c>
    </row>
    <row r="139" spans="2:4">
      <c r="C139" s="373">
        <v>137</v>
      </c>
      <c r="D139" s="374">
        <f t="shared" si="8"/>
        <v>0.10999999999999999</v>
      </c>
    </row>
    <row r="140" spans="2:4">
      <c r="C140" s="373">
        <v>138</v>
      </c>
      <c r="D140" s="374">
        <f t="shared" si="8"/>
        <v>0.10999999999999999</v>
      </c>
    </row>
    <row r="141" spans="2:4">
      <c r="C141" s="373">
        <v>139</v>
      </c>
      <c r="D141" s="374">
        <f t="shared" si="8"/>
        <v>0.10999999999999999</v>
      </c>
    </row>
    <row r="142" spans="2:4">
      <c r="C142" s="373">
        <v>140</v>
      </c>
      <c r="D142" s="374">
        <f t="shared" si="8"/>
        <v>0.10999999999999999</v>
      </c>
    </row>
    <row r="143" spans="2:4">
      <c r="C143" s="373">
        <v>141</v>
      </c>
      <c r="D143" s="374">
        <f t="shared" si="8"/>
        <v>0.10999999999999999</v>
      </c>
    </row>
    <row r="144" spans="2:4">
      <c r="C144" s="373">
        <v>142</v>
      </c>
      <c r="D144" s="374">
        <f t="shared" si="8"/>
        <v>0.10999999999999999</v>
      </c>
    </row>
    <row r="145" spans="2:4">
      <c r="C145" s="373">
        <v>143</v>
      </c>
      <c r="D145" s="374">
        <f t="shared" si="8"/>
        <v>0.10999999999999999</v>
      </c>
    </row>
    <row r="146" spans="2:4">
      <c r="C146" s="373">
        <v>144</v>
      </c>
      <c r="D146" s="374">
        <f t="shared" si="8"/>
        <v>0.10999999999999999</v>
      </c>
    </row>
    <row r="147" spans="2:4">
      <c r="B147" s="367">
        <f>B135+12</f>
        <v>145</v>
      </c>
      <c r="C147" s="370">
        <v>145</v>
      </c>
      <c r="D147" s="371">
        <f>D135+$E$2</f>
        <v>0.11999999999999998</v>
      </c>
    </row>
    <row r="148" spans="2:4">
      <c r="C148" s="373">
        <v>146</v>
      </c>
      <c r="D148" s="374">
        <f>$D$147</f>
        <v>0.11999999999999998</v>
      </c>
    </row>
    <row r="149" spans="2:4">
      <c r="C149" s="373">
        <v>147</v>
      </c>
      <c r="D149" s="374">
        <f t="shared" ref="D149:D158" si="9">$D$147</f>
        <v>0.11999999999999998</v>
      </c>
    </row>
    <row r="150" spans="2:4">
      <c r="C150" s="373">
        <v>148</v>
      </c>
      <c r="D150" s="374">
        <f t="shared" si="9"/>
        <v>0.11999999999999998</v>
      </c>
    </row>
    <row r="151" spans="2:4">
      <c r="C151" s="373">
        <v>149</v>
      </c>
      <c r="D151" s="374">
        <f t="shared" si="9"/>
        <v>0.11999999999999998</v>
      </c>
    </row>
    <row r="152" spans="2:4">
      <c r="C152" s="373">
        <v>150</v>
      </c>
      <c r="D152" s="374">
        <f t="shared" si="9"/>
        <v>0.11999999999999998</v>
      </c>
    </row>
    <row r="153" spans="2:4">
      <c r="C153" s="373">
        <v>151</v>
      </c>
      <c r="D153" s="374">
        <f t="shared" si="9"/>
        <v>0.11999999999999998</v>
      </c>
    </row>
    <row r="154" spans="2:4">
      <c r="C154" s="373">
        <v>152</v>
      </c>
      <c r="D154" s="374">
        <f t="shared" si="9"/>
        <v>0.11999999999999998</v>
      </c>
    </row>
    <row r="155" spans="2:4">
      <c r="C155" s="373">
        <v>153</v>
      </c>
      <c r="D155" s="374">
        <f t="shared" si="9"/>
        <v>0.11999999999999998</v>
      </c>
    </row>
    <row r="156" spans="2:4">
      <c r="C156" s="373">
        <v>154</v>
      </c>
      <c r="D156" s="374">
        <f t="shared" si="9"/>
        <v>0.11999999999999998</v>
      </c>
    </row>
    <row r="157" spans="2:4">
      <c r="C157" s="373">
        <v>155</v>
      </c>
      <c r="D157" s="374">
        <f t="shared" si="9"/>
        <v>0.11999999999999998</v>
      </c>
    </row>
    <row r="158" spans="2:4">
      <c r="C158" s="373">
        <v>156</v>
      </c>
      <c r="D158" s="374">
        <f t="shared" si="9"/>
        <v>0.11999999999999998</v>
      </c>
    </row>
    <row r="159" spans="2:4">
      <c r="B159" s="367">
        <f>B147+12</f>
        <v>157</v>
      </c>
      <c r="C159" s="370">
        <v>157</v>
      </c>
      <c r="D159" s="371">
        <f>D147+$E$2</f>
        <v>0.12999999999999998</v>
      </c>
    </row>
    <row r="160" spans="2:4">
      <c r="C160" s="373">
        <v>158</v>
      </c>
      <c r="D160" s="374">
        <f>$D$159</f>
        <v>0.12999999999999998</v>
      </c>
    </row>
    <row r="161" spans="2:4">
      <c r="C161" s="373">
        <v>159</v>
      </c>
      <c r="D161" s="374">
        <f t="shared" ref="D161:D170" si="10">$D$159</f>
        <v>0.12999999999999998</v>
      </c>
    </row>
    <row r="162" spans="2:4">
      <c r="C162" s="373">
        <v>160</v>
      </c>
      <c r="D162" s="374">
        <f t="shared" si="10"/>
        <v>0.12999999999999998</v>
      </c>
    </row>
    <row r="163" spans="2:4">
      <c r="C163" s="373">
        <v>161</v>
      </c>
      <c r="D163" s="374">
        <f t="shared" si="10"/>
        <v>0.12999999999999998</v>
      </c>
    </row>
    <row r="164" spans="2:4">
      <c r="C164" s="373">
        <v>162</v>
      </c>
      <c r="D164" s="374">
        <f t="shared" si="10"/>
        <v>0.12999999999999998</v>
      </c>
    </row>
    <row r="165" spans="2:4">
      <c r="C165" s="373">
        <v>163</v>
      </c>
      <c r="D165" s="374">
        <f t="shared" si="10"/>
        <v>0.12999999999999998</v>
      </c>
    </row>
    <row r="166" spans="2:4">
      <c r="C166" s="373">
        <v>164</v>
      </c>
      <c r="D166" s="374">
        <f t="shared" si="10"/>
        <v>0.12999999999999998</v>
      </c>
    </row>
    <row r="167" spans="2:4">
      <c r="C167" s="373">
        <v>165</v>
      </c>
      <c r="D167" s="374">
        <f t="shared" si="10"/>
        <v>0.12999999999999998</v>
      </c>
    </row>
    <row r="168" spans="2:4">
      <c r="C168" s="373">
        <v>166</v>
      </c>
      <c r="D168" s="374">
        <f t="shared" si="10"/>
        <v>0.12999999999999998</v>
      </c>
    </row>
    <row r="169" spans="2:4">
      <c r="C169" s="373">
        <v>167</v>
      </c>
      <c r="D169" s="374">
        <f t="shared" si="10"/>
        <v>0.12999999999999998</v>
      </c>
    </row>
    <row r="170" spans="2:4">
      <c r="C170" s="375">
        <v>168</v>
      </c>
      <c r="D170" s="374">
        <f t="shared" si="10"/>
        <v>0.12999999999999998</v>
      </c>
    </row>
    <row r="171" spans="2:4" ht="15">
      <c r="B171" s="367">
        <f>B159+12</f>
        <v>169</v>
      </c>
      <c r="C171" s="376">
        <v>169</v>
      </c>
      <c r="D171" s="371">
        <f>D159+$E$2</f>
        <v>0.13999999999999999</v>
      </c>
    </row>
    <row r="172" spans="2:4">
      <c r="C172" s="373">
        <v>170</v>
      </c>
      <c r="D172" s="374">
        <f>+$D$171</f>
        <v>0.13999999999999999</v>
      </c>
    </row>
    <row r="173" spans="2:4">
      <c r="C173" s="373">
        <v>171</v>
      </c>
      <c r="D173" s="374">
        <f t="shared" ref="D173:D182" si="11">+$D$171</f>
        <v>0.13999999999999999</v>
      </c>
    </row>
    <row r="174" spans="2:4">
      <c r="C174" s="373">
        <v>172</v>
      </c>
      <c r="D174" s="374">
        <f t="shared" si="11"/>
        <v>0.13999999999999999</v>
      </c>
    </row>
    <row r="175" spans="2:4">
      <c r="C175" s="373">
        <v>173</v>
      </c>
      <c r="D175" s="374">
        <f t="shared" si="11"/>
        <v>0.13999999999999999</v>
      </c>
    </row>
    <row r="176" spans="2:4">
      <c r="C176" s="373">
        <v>174</v>
      </c>
      <c r="D176" s="374">
        <f t="shared" si="11"/>
        <v>0.13999999999999999</v>
      </c>
    </row>
    <row r="177" spans="2:4">
      <c r="C177" s="373">
        <v>175</v>
      </c>
      <c r="D177" s="374">
        <f t="shared" si="11"/>
        <v>0.13999999999999999</v>
      </c>
    </row>
    <row r="178" spans="2:4">
      <c r="C178" s="373">
        <v>176</v>
      </c>
      <c r="D178" s="374">
        <f t="shared" si="11"/>
        <v>0.13999999999999999</v>
      </c>
    </row>
    <row r="179" spans="2:4">
      <c r="C179" s="373">
        <v>177</v>
      </c>
      <c r="D179" s="374">
        <f t="shared" si="11"/>
        <v>0.13999999999999999</v>
      </c>
    </row>
    <row r="180" spans="2:4">
      <c r="C180" s="373">
        <v>178</v>
      </c>
      <c r="D180" s="374">
        <f t="shared" si="11"/>
        <v>0.13999999999999999</v>
      </c>
    </row>
    <row r="181" spans="2:4">
      <c r="C181" s="373">
        <v>179</v>
      </c>
      <c r="D181" s="374">
        <f t="shared" si="11"/>
        <v>0.13999999999999999</v>
      </c>
    </row>
    <row r="182" spans="2:4">
      <c r="C182" s="373">
        <v>180</v>
      </c>
      <c r="D182" s="374">
        <f t="shared" si="11"/>
        <v>0.13999999999999999</v>
      </c>
    </row>
    <row r="183" spans="2:4">
      <c r="B183" s="367">
        <f>B171+12</f>
        <v>181</v>
      </c>
      <c r="C183" s="370">
        <v>181</v>
      </c>
      <c r="D183" s="371">
        <f>D171+$E$2</f>
        <v>0.15</v>
      </c>
    </row>
    <row r="184" spans="2:4">
      <c r="C184" s="373">
        <v>182</v>
      </c>
      <c r="D184" s="374">
        <f>$D$183</f>
        <v>0.15</v>
      </c>
    </row>
    <row r="185" spans="2:4">
      <c r="C185" s="373">
        <v>183</v>
      </c>
      <c r="D185" s="374">
        <f t="shared" ref="D185:D194" si="12">$D$183</f>
        <v>0.15</v>
      </c>
    </row>
    <row r="186" spans="2:4">
      <c r="C186" s="373">
        <v>184</v>
      </c>
      <c r="D186" s="374">
        <f t="shared" si="12"/>
        <v>0.15</v>
      </c>
    </row>
    <row r="187" spans="2:4">
      <c r="C187" s="373">
        <v>185</v>
      </c>
      <c r="D187" s="374">
        <f t="shared" si="12"/>
        <v>0.15</v>
      </c>
    </row>
    <row r="188" spans="2:4">
      <c r="C188" s="373">
        <v>186</v>
      </c>
      <c r="D188" s="374">
        <f t="shared" si="12"/>
        <v>0.15</v>
      </c>
    </row>
    <row r="189" spans="2:4">
      <c r="C189" s="373">
        <v>187</v>
      </c>
      <c r="D189" s="374">
        <f t="shared" si="12"/>
        <v>0.15</v>
      </c>
    </row>
    <row r="190" spans="2:4">
      <c r="C190" s="373">
        <v>188</v>
      </c>
      <c r="D190" s="374">
        <f t="shared" si="12"/>
        <v>0.15</v>
      </c>
    </row>
    <row r="191" spans="2:4">
      <c r="C191" s="373">
        <v>189</v>
      </c>
      <c r="D191" s="374">
        <f t="shared" si="12"/>
        <v>0.15</v>
      </c>
    </row>
    <row r="192" spans="2:4">
      <c r="C192" s="373">
        <v>190</v>
      </c>
      <c r="D192" s="374">
        <f t="shared" si="12"/>
        <v>0.15</v>
      </c>
    </row>
    <row r="193" spans="2:4">
      <c r="C193" s="373">
        <v>191</v>
      </c>
      <c r="D193" s="374">
        <f t="shared" si="12"/>
        <v>0.15</v>
      </c>
    </row>
    <row r="194" spans="2:4">
      <c r="C194" s="373">
        <v>192</v>
      </c>
      <c r="D194" s="374">
        <f t="shared" si="12"/>
        <v>0.15</v>
      </c>
    </row>
    <row r="195" spans="2:4">
      <c r="B195" s="367">
        <f>B183+12</f>
        <v>193</v>
      </c>
      <c r="C195" s="370">
        <v>193</v>
      </c>
      <c r="D195" s="371">
        <f>D183+$E$2</f>
        <v>0.16</v>
      </c>
    </row>
    <row r="196" spans="2:4">
      <c r="C196" s="373">
        <v>194</v>
      </c>
      <c r="D196" s="374">
        <f>$D$195</f>
        <v>0.16</v>
      </c>
    </row>
    <row r="197" spans="2:4">
      <c r="C197" s="373">
        <v>195</v>
      </c>
      <c r="D197" s="374">
        <f t="shared" ref="D197:D206" si="13">$D$195</f>
        <v>0.16</v>
      </c>
    </row>
    <row r="198" spans="2:4">
      <c r="C198" s="373">
        <v>196</v>
      </c>
      <c r="D198" s="374">
        <f t="shared" si="13"/>
        <v>0.16</v>
      </c>
    </row>
    <row r="199" spans="2:4">
      <c r="C199" s="373">
        <v>197</v>
      </c>
      <c r="D199" s="374">
        <f t="shared" si="13"/>
        <v>0.16</v>
      </c>
    </row>
    <row r="200" spans="2:4">
      <c r="C200" s="373">
        <v>198</v>
      </c>
      <c r="D200" s="374">
        <f t="shared" si="13"/>
        <v>0.16</v>
      </c>
    </row>
    <row r="201" spans="2:4">
      <c r="C201" s="373">
        <v>199</v>
      </c>
      <c r="D201" s="374">
        <f t="shared" si="13"/>
        <v>0.16</v>
      </c>
    </row>
    <row r="202" spans="2:4">
      <c r="C202" s="373">
        <v>200</v>
      </c>
      <c r="D202" s="374">
        <f t="shared" si="13"/>
        <v>0.16</v>
      </c>
    </row>
    <row r="203" spans="2:4">
      <c r="C203" s="373">
        <v>201</v>
      </c>
      <c r="D203" s="374">
        <f t="shared" si="13"/>
        <v>0.16</v>
      </c>
    </row>
    <row r="204" spans="2:4">
      <c r="C204" s="373">
        <v>202</v>
      </c>
      <c r="D204" s="374">
        <f t="shared" si="13"/>
        <v>0.16</v>
      </c>
    </row>
    <row r="205" spans="2:4">
      <c r="C205" s="373">
        <v>203</v>
      </c>
      <c r="D205" s="374">
        <f t="shared" si="13"/>
        <v>0.16</v>
      </c>
    </row>
    <row r="206" spans="2:4">
      <c r="C206" s="373">
        <v>204</v>
      </c>
      <c r="D206" s="374">
        <f t="shared" si="13"/>
        <v>0.16</v>
      </c>
    </row>
    <row r="207" spans="2:4">
      <c r="B207" s="367">
        <f>B195+12</f>
        <v>205</v>
      </c>
      <c r="C207" s="377">
        <v>205</v>
      </c>
      <c r="D207" s="371">
        <f>D195+$E$2</f>
        <v>0.17</v>
      </c>
    </row>
    <row r="208" spans="2:4">
      <c r="C208" s="378">
        <v>206</v>
      </c>
      <c r="D208" s="379">
        <v>0.17</v>
      </c>
    </row>
    <row r="209" spans="2:5">
      <c r="C209" s="373">
        <v>207</v>
      </c>
      <c r="D209" s="379">
        <v>0.17</v>
      </c>
    </row>
    <row r="210" spans="2:5">
      <c r="C210" s="373">
        <v>208</v>
      </c>
      <c r="D210" s="379">
        <v>0.17</v>
      </c>
    </row>
    <row r="211" spans="2:5">
      <c r="C211" s="373">
        <v>209</v>
      </c>
      <c r="D211" s="379">
        <v>0.17</v>
      </c>
    </row>
    <row r="212" spans="2:5">
      <c r="C212" s="373">
        <v>210</v>
      </c>
      <c r="D212" s="379">
        <v>0.17</v>
      </c>
    </row>
    <row r="213" spans="2:5">
      <c r="C213" s="373">
        <v>211</v>
      </c>
      <c r="D213" s="379">
        <v>0.17</v>
      </c>
    </row>
    <row r="214" spans="2:5">
      <c r="C214" s="373">
        <v>212</v>
      </c>
      <c r="D214" s="379">
        <v>0.17</v>
      </c>
    </row>
    <row r="215" spans="2:5">
      <c r="C215" s="373">
        <v>213</v>
      </c>
      <c r="D215" s="379">
        <v>0.17</v>
      </c>
    </row>
    <row r="216" spans="2:5">
      <c r="C216" s="373">
        <v>214</v>
      </c>
      <c r="D216" s="379">
        <v>0.17</v>
      </c>
    </row>
    <row r="217" spans="2:5">
      <c r="C217" s="373">
        <v>215</v>
      </c>
      <c r="D217" s="379">
        <v>0.17</v>
      </c>
    </row>
    <row r="218" spans="2:5">
      <c r="C218" s="373">
        <v>216</v>
      </c>
      <c r="D218" s="379">
        <v>0.17</v>
      </c>
    </row>
    <row r="219" spans="2:5">
      <c r="B219" s="367">
        <f>B207+12</f>
        <v>217</v>
      </c>
      <c r="C219" s="377">
        <v>217</v>
      </c>
      <c r="D219" s="380">
        <v>0.18</v>
      </c>
    </row>
    <row r="220" spans="2:5">
      <c r="C220" s="373">
        <v>218</v>
      </c>
      <c r="D220" s="379">
        <v>0.18</v>
      </c>
    </row>
    <row r="221" spans="2:5">
      <c r="C221" s="373">
        <v>219</v>
      </c>
      <c r="D221" s="379">
        <v>0.18</v>
      </c>
    </row>
    <row r="222" spans="2:5" s="381" customFormat="1">
      <c r="B222" s="367"/>
      <c r="C222" s="373">
        <v>220</v>
      </c>
      <c r="D222" s="379">
        <v>0.18</v>
      </c>
      <c r="E222" s="367"/>
    </row>
    <row r="223" spans="2:5" s="381" customFormat="1">
      <c r="B223" s="367"/>
      <c r="C223" s="373">
        <v>221</v>
      </c>
      <c r="D223" s="379">
        <v>0.18</v>
      </c>
      <c r="E223" s="367"/>
    </row>
    <row r="224" spans="2:5" s="381" customFormat="1">
      <c r="B224" s="367"/>
      <c r="C224" s="373">
        <v>222</v>
      </c>
      <c r="D224" s="379">
        <v>0.18</v>
      </c>
      <c r="E224" s="367"/>
    </row>
    <row r="225" spans="2:5" s="381" customFormat="1">
      <c r="B225" s="367"/>
      <c r="C225" s="373">
        <v>223</v>
      </c>
      <c r="D225" s="379">
        <v>0.18</v>
      </c>
      <c r="E225" s="367"/>
    </row>
    <row r="226" spans="2:5" s="381" customFormat="1">
      <c r="B226" s="367"/>
      <c r="C226" s="373">
        <v>224</v>
      </c>
      <c r="D226" s="379">
        <v>0.18</v>
      </c>
      <c r="E226" s="367"/>
    </row>
    <row r="227" spans="2:5" s="381" customFormat="1">
      <c r="B227" s="367"/>
      <c r="C227" s="373">
        <v>225</v>
      </c>
      <c r="D227" s="379">
        <v>0.18</v>
      </c>
      <c r="E227" s="367"/>
    </row>
    <row r="228" spans="2:5" s="381" customFormat="1">
      <c r="B228" s="367"/>
      <c r="C228" s="373">
        <v>226</v>
      </c>
      <c r="D228" s="379">
        <v>0.18</v>
      </c>
      <c r="E228" s="367"/>
    </row>
    <row r="229" spans="2:5" s="381" customFormat="1">
      <c r="B229" s="367"/>
      <c r="C229" s="373">
        <v>227</v>
      </c>
      <c r="D229" s="379">
        <v>0.18</v>
      </c>
      <c r="E229" s="367"/>
    </row>
    <row r="230" spans="2:5" s="381" customFormat="1">
      <c r="B230" s="367"/>
      <c r="C230" s="373">
        <v>228</v>
      </c>
      <c r="D230" s="379">
        <v>0.18</v>
      </c>
      <c r="E230" s="367"/>
    </row>
    <row r="231" spans="2:5" s="381" customFormat="1">
      <c r="B231" s="367">
        <f>B219+12</f>
        <v>229</v>
      </c>
      <c r="C231" s="377">
        <v>229</v>
      </c>
      <c r="D231" s="380">
        <v>0.19</v>
      </c>
      <c r="E231" s="367"/>
    </row>
    <row r="232" spans="2:5" s="381" customFormat="1">
      <c r="B232" s="367"/>
      <c r="C232" s="373">
        <v>230</v>
      </c>
      <c r="D232" s="374">
        <v>0.19</v>
      </c>
      <c r="E232" s="367"/>
    </row>
    <row r="233" spans="2:5" s="381" customFormat="1">
      <c r="B233" s="367"/>
      <c r="C233" s="373">
        <v>231</v>
      </c>
      <c r="D233" s="374">
        <v>0.19</v>
      </c>
      <c r="E233" s="367"/>
    </row>
    <row r="234" spans="2:5" s="381" customFormat="1">
      <c r="B234" s="367"/>
      <c r="C234" s="373">
        <v>232</v>
      </c>
      <c r="D234" s="374">
        <v>0.19</v>
      </c>
      <c r="E234" s="367"/>
    </row>
    <row r="235" spans="2:5" s="381" customFormat="1">
      <c r="B235" s="367"/>
      <c r="C235" s="373">
        <v>233</v>
      </c>
      <c r="D235" s="374">
        <v>0.19</v>
      </c>
      <c r="E235" s="367"/>
    </row>
    <row r="236" spans="2:5" s="381" customFormat="1">
      <c r="B236" s="367"/>
      <c r="C236" s="373">
        <v>234</v>
      </c>
      <c r="D236" s="374">
        <v>0.19</v>
      </c>
      <c r="E236" s="367"/>
    </row>
    <row r="237" spans="2:5" s="381" customFormat="1">
      <c r="B237" s="367"/>
      <c r="C237" s="373">
        <v>235</v>
      </c>
      <c r="D237" s="374">
        <v>0.19</v>
      </c>
      <c r="E237" s="367"/>
    </row>
    <row r="238" spans="2:5">
      <c r="C238" s="373">
        <v>236</v>
      </c>
      <c r="D238" s="374">
        <v>0.19</v>
      </c>
    </row>
    <row r="239" spans="2:5">
      <c r="C239" s="373">
        <v>237</v>
      </c>
      <c r="D239" s="374">
        <v>0.19</v>
      </c>
    </row>
    <row r="240" spans="2:5">
      <c r="C240" s="373">
        <v>238</v>
      </c>
      <c r="D240" s="374">
        <v>0.19</v>
      </c>
    </row>
    <row r="241" spans="3:4">
      <c r="C241" s="373">
        <v>239</v>
      </c>
      <c r="D241" s="374">
        <v>0.19</v>
      </c>
    </row>
    <row r="242" spans="3:4">
      <c r="C242" s="373">
        <v>240</v>
      </c>
      <c r="D242" s="374">
        <v>0.19</v>
      </c>
    </row>
    <row r="243" spans="3:4">
      <c r="C243" s="373"/>
      <c r="D243" s="374"/>
    </row>
    <row r="244" spans="3:4">
      <c r="C244" s="373"/>
    </row>
    <row r="245" spans="3:4">
      <c r="C245" s="373"/>
    </row>
    <row r="246" spans="3:4">
      <c r="C246" s="373"/>
    </row>
    <row r="247" spans="3:4">
      <c r="C247" s="373"/>
    </row>
    <row r="248" spans="3:4">
      <c r="C248" s="373"/>
    </row>
    <row r="249" spans="3:4">
      <c r="C249" s="373"/>
    </row>
    <row r="250" spans="3:4">
      <c r="C250" s="373"/>
    </row>
    <row r="251" spans="3:4">
      <c r="C251" s="373"/>
    </row>
    <row r="252" spans="3:4">
      <c r="C252" s="373"/>
    </row>
    <row r="253" spans="3:4">
      <c r="C253" s="373"/>
    </row>
    <row r="254" spans="3:4">
      <c r="C254" s="373"/>
    </row>
    <row r="255" spans="3:4">
      <c r="C255" s="373"/>
    </row>
    <row r="256" spans="3:4">
      <c r="C256" s="373"/>
    </row>
    <row r="257" spans="3:3">
      <c r="C257" s="373"/>
    </row>
    <row r="258" spans="3:3">
      <c r="C258" s="373"/>
    </row>
    <row r="259" spans="3:3">
      <c r="C259" s="373"/>
    </row>
    <row r="260" spans="3:3">
      <c r="C260" s="373"/>
    </row>
    <row r="261" spans="3:3">
      <c r="C261" s="373"/>
    </row>
    <row r="262" spans="3:3">
      <c r="C262" s="373"/>
    </row>
    <row r="263" spans="3:3">
      <c r="C263" s="373"/>
    </row>
    <row r="264" spans="3:3">
      <c r="C264" s="373"/>
    </row>
    <row r="265" spans="3:3">
      <c r="C265" s="373"/>
    </row>
    <row r="266" spans="3:3">
      <c r="C266" s="373"/>
    </row>
    <row r="267" spans="3:3">
      <c r="C267" s="373"/>
    </row>
    <row r="268" spans="3:3">
      <c r="C268" s="373"/>
    </row>
    <row r="269" spans="3:3">
      <c r="C269" s="373"/>
    </row>
    <row r="270" spans="3:3">
      <c r="C270" s="373"/>
    </row>
    <row r="271" spans="3:3">
      <c r="C271" s="373"/>
    </row>
    <row r="272" spans="3:3">
      <c r="C272" s="373"/>
    </row>
    <row r="273" spans="3:3">
      <c r="C273" s="373"/>
    </row>
    <row r="274" spans="3:3">
      <c r="C274" s="373"/>
    </row>
    <row r="275" spans="3:3">
      <c r="C275" s="373"/>
    </row>
    <row r="276" spans="3:3">
      <c r="C276" s="373"/>
    </row>
    <row r="277" spans="3:3">
      <c r="C277" s="373"/>
    </row>
    <row r="278" spans="3:3">
      <c r="C278" s="373"/>
    </row>
    <row r="279" spans="3:3">
      <c r="C279" s="373"/>
    </row>
    <row r="280" spans="3:3">
      <c r="C280" s="373"/>
    </row>
    <row r="281" spans="3:3">
      <c r="C281" s="373"/>
    </row>
    <row r="282" spans="3:3">
      <c r="C282" s="373"/>
    </row>
    <row r="283" spans="3:3">
      <c r="C283" s="373"/>
    </row>
    <row r="284" spans="3:3">
      <c r="C284" s="373"/>
    </row>
    <row r="285" spans="3:3">
      <c r="C285" s="373"/>
    </row>
    <row r="286" spans="3:3">
      <c r="C286" s="373"/>
    </row>
    <row r="287" spans="3:3">
      <c r="C287" s="373"/>
    </row>
    <row r="288" spans="3:3">
      <c r="C288" s="373"/>
    </row>
    <row r="289" spans="3:3">
      <c r="C289" s="373"/>
    </row>
    <row r="290" spans="3:3">
      <c r="C290" s="373"/>
    </row>
    <row r="291" spans="3:3">
      <c r="C291" s="373"/>
    </row>
    <row r="292" spans="3:3">
      <c r="C292" s="373"/>
    </row>
    <row r="293" spans="3:3">
      <c r="C293" s="373"/>
    </row>
    <row r="294" spans="3:3">
      <c r="C294" s="373"/>
    </row>
    <row r="295" spans="3:3">
      <c r="C295" s="373"/>
    </row>
    <row r="296" spans="3:3">
      <c r="C296" s="373"/>
    </row>
    <row r="297" spans="3:3">
      <c r="C297" s="373"/>
    </row>
    <row r="298" spans="3:3">
      <c r="C298" s="373"/>
    </row>
    <row r="299" spans="3:3">
      <c r="C299" s="373"/>
    </row>
    <row r="300" spans="3:3">
      <c r="C300" s="373"/>
    </row>
    <row r="301" spans="3:3">
      <c r="C301" s="373"/>
    </row>
    <row r="302" spans="3:3">
      <c r="C302" s="373"/>
    </row>
    <row r="303" spans="3:3">
      <c r="C303" s="373"/>
    </row>
    <row r="304" spans="3:3">
      <c r="C304" s="373"/>
    </row>
    <row r="305" spans="3:3">
      <c r="C305" s="373"/>
    </row>
    <row r="306" spans="3:3">
      <c r="C306" s="373"/>
    </row>
    <row r="307" spans="3:3">
      <c r="C307" s="373"/>
    </row>
    <row r="308" spans="3:3">
      <c r="C308" s="373"/>
    </row>
    <row r="309" spans="3:3">
      <c r="C309" s="373"/>
    </row>
    <row r="310" spans="3:3">
      <c r="C310" s="373"/>
    </row>
    <row r="311" spans="3:3">
      <c r="C311" s="373"/>
    </row>
    <row r="312" spans="3:3">
      <c r="C312" s="373"/>
    </row>
    <row r="313" spans="3:3">
      <c r="C313" s="373"/>
    </row>
    <row r="314" spans="3:3">
      <c r="C314" s="373"/>
    </row>
    <row r="315" spans="3:3">
      <c r="C315" s="373"/>
    </row>
    <row r="316" spans="3:3">
      <c r="C316" s="373"/>
    </row>
    <row r="317" spans="3:3">
      <c r="C317" s="373"/>
    </row>
    <row r="318" spans="3:3">
      <c r="C318" s="373"/>
    </row>
    <row r="319" spans="3:3">
      <c r="C319" s="373"/>
    </row>
    <row r="320" spans="3:3">
      <c r="C320" s="373"/>
    </row>
    <row r="321" spans="3:3">
      <c r="C321" s="373"/>
    </row>
    <row r="322" spans="3:3">
      <c r="C322" s="373"/>
    </row>
    <row r="323" spans="3:3">
      <c r="C323" s="373"/>
    </row>
    <row r="324" spans="3:3">
      <c r="C324" s="373"/>
    </row>
    <row r="325" spans="3:3">
      <c r="C325" s="373"/>
    </row>
    <row r="326" spans="3:3">
      <c r="C326" s="373"/>
    </row>
    <row r="327" spans="3:3">
      <c r="C327" s="373"/>
    </row>
    <row r="328" spans="3:3">
      <c r="C328" s="373"/>
    </row>
    <row r="329" spans="3:3">
      <c r="C329" s="373"/>
    </row>
    <row r="330" spans="3:3">
      <c r="C330" s="373"/>
    </row>
    <row r="331" spans="3:3">
      <c r="C331" s="373"/>
    </row>
    <row r="332" spans="3:3">
      <c r="C332" s="373"/>
    </row>
    <row r="333" spans="3:3">
      <c r="C333" s="373"/>
    </row>
    <row r="334" spans="3:3">
      <c r="C334" s="373"/>
    </row>
    <row r="335" spans="3:3">
      <c r="C335" s="373"/>
    </row>
    <row r="336" spans="3:3">
      <c r="C336" s="373"/>
    </row>
    <row r="337" spans="3:3">
      <c r="C337" s="373"/>
    </row>
    <row r="338" spans="3:3">
      <c r="C338" s="373"/>
    </row>
    <row r="339" spans="3:3">
      <c r="C339" s="373"/>
    </row>
    <row r="340" spans="3:3">
      <c r="C340" s="373"/>
    </row>
    <row r="341" spans="3:3">
      <c r="C341" s="373"/>
    </row>
    <row r="342" spans="3:3">
      <c r="C342" s="373"/>
    </row>
    <row r="343" spans="3:3">
      <c r="C343" s="373"/>
    </row>
    <row r="344" spans="3:3">
      <c r="C344" s="373"/>
    </row>
    <row r="345" spans="3:3">
      <c r="C345" s="373"/>
    </row>
    <row r="346" spans="3:3">
      <c r="C346" s="373"/>
    </row>
    <row r="347" spans="3:3">
      <c r="C347" s="373"/>
    </row>
    <row r="348" spans="3:3">
      <c r="C348" s="373"/>
    </row>
    <row r="349" spans="3:3">
      <c r="C349" s="373"/>
    </row>
    <row r="350" spans="3:3">
      <c r="C350" s="373"/>
    </row>
    <row r="351" spans="3:3">
      <c r="C351" s="373"/>
    </row>
    <row r="352" spans="3:3">
      <c r="C352" s="373"/>
    </row>
    <row r="353" spans="3:3">
      <c r="C353" s="373"/>
    </row>
    <row r="354" spans="3:3">
      <c r="C354" s="373"/>
    </row>
    <row r="355" spans="3:3">
      <c r="C355" s="373"/>
    </row>
    <row r="356" spans="3:3">
      <c r="C356" s="373"/>
    </row>
    <row r="357" spans="3:3">
      <c r="C357" s="373"/>
    </row>
    <row r="358" spans="3:3">
      <c r="C358" s="373"/>
    </row>
    <row r="359" spans="3:3">
      <c r="C359" s="373"/>
    </row>
    <row r="360" spans="3:3">
      <c r="C360" s="373"/>
    </row>
    <row r="361" spans="3:3">
      <c r="C361" s="373"/>
    </row>
    <row r="362" spans="3:3">
      <c r="C362" s="373"/>
    </row>
    <row r="363" spans="3:3">
      <c r="C363" s="373"/>
    </row>
    <row r="364" spans="3:3">
      <c r="C364" s="373"/>
    </row>
    <row r="365" spans="3:3">
      <c r="C365" s="373"/>
    </row>
    <row r="366" spans="3:3">
      <c r="C366" s="373"/>
    </row>
    <row r="367" spans="3:3">
      <c r="C367" s="373"/>
    </row>
    <row r="368" spans="3:3">
      <c r="C368" s="373"/>
    </row>
    <row r="369" spans="3:3">
      <c r="C369" s="373"/>
    </row>
    <row r="370" spans="3:3">
      <c r="C370" s="373"/>
    </row>
    <row r="371" spans="3:3">
      <c r="C371" s="373"/>
    </row>
    <row r="372" spans="3:3">
      <c r="C372" s="373"/>
    </row>
    <row r="373" spans="3:3">
      <c r="C373" s="373"/>
    </row>
    <row r="374" spans="3:3">
      <c r="C374" s="373"/>
    </row>
    <row r="375" spans="3:3">
      <c r="C375" s="373"/>
    </row>
    <row r="376" spans="3:3">
      <c r="C376" s="373"/>
    </row>
    <row r="377" spans="3:3">
      <c r="C377" s="373"/>
    </row>
    <row r="378" spans="3:3">
      <c r="C378" s="373"/>
    </row>
    <row r="379" spans="3:3">
      <c r="C379" s="373"/>
    </row>
    <row r="380" spans="3:3">
      <c r="C380" s="373"/>
    </row>
    <row r="381" spans="3:3">
      <c r="C381" s="373"/>
    </row>
    <row r="382" spans="3:3">
      <c r="C382" s="373"/>
    </row>
    <row r="383" spans="3:3">
      <c r="C383" s="373"/>
    </row>
    <row r="384" spans="3:3">
      <c r="C384" s="373"/>
    </row>
    <row r="385" spans="3:3">
      <c r="C385" s="373"/>
    </row>
    <row r="386" spans="3:3">
      <c r="C386" s="373"/>
    </row>
    <row r="387" spans="3:3">
      <c r="C387" s="373"/>
    </row>
    <row r="388" spans="3:3">
      <c r="C388" s="373"/>
    </row>
    <row r="389" spans="3:3">
      <c r="C389" s="373"/>
    </row>
    <row r="390" spans="3:3">
      <c r="C390" s="373"/>
    </row>
    <row r="391" spans="3:3">
      <c r="C391" s="373"/>
    </row>
    <row r="392" spans="3:3">
      <c r="C392" s="373"/>
    </row>
    <row r="393" spans="3:3">
      <c r="C393" s="373"/>
    </row>
    <row r="394" spans="3:3">
      <c r="C394" s="373"/>
    </row>
    <row r="395" spans="3:3">
      <c r="C395" s="373"/>
    </row>
    <row r="396" spans="3:3">
      <c r="C396" s="373"/>
    </row>
    <row r="397" spans="3:3">
      <c r="C397" s="373"/>
    </row>
    <row r="398" spans="3:3">
      <c r="C398" s="373"/>
    </row>
    <row r="399" spans="3:3">
      <c r="C399" s="373"/>
    </row>
    <row r="400" spans="3:3">
      <c r="C400" s="373"/>
    </row>
    <row r="401" spans="3:3">
      <c r="C401" s="373"/>
    </row>
    <row r="402" spans="3:3">
      <c r="C402" s="373"/>
    </row>
    <row r="403" spans="3:3">
      <c r="C403" s="373"/>
    </row>
    <row r="404" spans="3:3">
      <c r="C404" s="373"/>
    </row>
    <row r="405" spans="3:3">
      <c r="C405" s="373"/>
    </row>
    <row r="406" spans="3:3">
      <c r="C406" s="373"/>
    </row>
    <row r="407" spans="3:3">
      <c r="C407" s="373"/>
    </row>
    <row r="408" spans="3:3">
      <c r="C408" s="373"/>
    </row>
    <row r="409" spans="3:3">
      <c r="C409" s="373"/>
    </row>
    <row r="410" spans="3:3">
      <c r="C410" s="373"/>
    </row>
    <row r="411" spans="3:3">
      <c r="C411" s="373"/>
    </row>
    <row r="412" spans="3:3">
      <c r="C412" s="373"/>
    </row>
    <row r="413" spans="3:3">
      <c r="C413" s="373"/>
    </row>
    <row r="414" spans="3:3">
      <c r="C414" s="373"/>
    </row>
    <row r="415" spans="3:3">
      <c r="C415" s="373"/>
    </row>
    <row r="416" spans="3:3">
      <c r="C416" s="373"/>
    </row>
    <row r="417" spans="3:3">
      <c r="C417" s="373"/>
    </row>
    <row r="418" spans="3:3">
      <c r="C418" s="373"/>
    </row>
    <row r="419" spans="3:3">
      <c r="C419" s="373"/>
    </row>
    <row r="420" spans="3:3">
      <c r="C420" s="373"/>
    </row>
    <row r="421" spans="3:3">
      <c r="C421" s="373"/>
    </row>
    <row r="422" spans="3:3">
      <c r="C422" s="373"/>
    </row>
    <row r="423" spans="3:3">
      <c r="C423" s="373"/>
    </row>
    <row r="424" spans="3:3">
      <c r="C424" s="373"/>
    </row>
    <row r="425" spans="3:3">
      <c r="C425" s="373"/>
    </row>
    <row r="426" spans="3:3">
      <c r="C426" s="373"/>
    </row>
    <row r="427" spans="3:3">
      <c r="C427" s="373"/>
    </row>
    <row r="428" spans="3:3">
      <c r="C428" s="373"/>
    </row>
    <row r="429" spans="3:3">
      <c r="C429" s="373"/>
    </row>
    <row r="430" spans="3:3">
      <c r="C430" s="373"/>
    </row>
    <row r="431" spans="3:3">
      <c r="C431" s="373"/>
    </row>
    <row r="432" spans="3:3">
      <c r="C432" s="373"/>
    </row>
    <row r="433" spans="3:3">
      <c r="C433" s="373"/>
    </row>
    <row r="434" spans="3:3">
      <c r="C434" s="373"/>
    </row>
    <row r="435" spans="3:3">
      <c r="C435" s="373"/>
    </row>
    <row r="436" spans="3:3">
      <c r="C436" s="373"/>
    </row>
    <row r="437" spans="3:3">
      <c r="C437" s="373"/>
    </row>
    <row r="438" spans="3:3">
      <c r="C438" s="373"/>
    </row>
    <row r="439" spans="3:3">
      <c r="C439" s="373"/>
    </row>
    <row r="440" spans="3:3">
      <c r="C440" s="373"/>
    </row>
    <row r="441" spans="3:3">
      <c r="C441" s="373"/>
    </row>
    <row r="442" spans="3:3">
      <c r="C442" s="373"/>
    </row>
    <row r="443" spans="3:3">
      <c r="C443" s="373"/>
    </row>
    <row r="444" spans="3:3">
      <c r="C444" s="373"/>
    </row>
    <row r="445" spans="3:3">
      <c r="C445" s="373"/>
    </row>
    <row r="446" spans="3:3">
      <c r="C446" s="373"/>
    </row>
    <row r="447" spans="3:3">
      <c r="C447" s="373"/>
    </row>
    <row r="448" spans="3:3">
      <c r="C448" s="373"/>
    </row>
    <row r="449" spans="3:3">
      <c r="C449" s="373"/>
    </row>
    <row r="450" spans="3:3">
      <c r="C450" s="373"/>
    </row>
    <row r="451" spans="3:3">
      <c r="C451" s="373"/>
    </row>
    <row r="452" spans="3:3">
      <c r="C452" s="373"/>
    </row>
    <row r="453" spans="3:3">
      <c r="C453" s="373"/>
    </row>
    <row r="454" spans="3:3">
      <c r="C454" s="373"/>
    </row>
    <row r="455" spans="3:3">
      <c r="C455" s="373"/>
    </row>
    <row r="456" spans="3:3">
      <c r="C456" s="373"/>
    </row>
    <row r="457" spans="3:3">
      <c r="C457" s="373"/>
    </row>
    <row r="458" spans="3:3">
      <c r="C458" s="373"/>
    </row>
    <row r="459" spans="3:3">
      <c r="C459" s="373"/>
    </row>
    <row r="460" spans="3:3">
      <c r="C460" s="373"/>
    </row>
    <row r="461" spans="3:3">
      <c r="C461" s="373"/>
    </row>
    <row r="462" spans="3:3">
      <c r="C462" s="373"/>
    </row>
    <row r="463" spans="3:3">
      <c r="C463" s="373"/>
    </row>
    <row r="464" spans="3:3">
      <c r="C464" s="373"/>
    </row>
    <row r="465" spans="3:3">
      <c r="C465" s="373"/>
    </row>
    <row r="466" spans="3:3">
      <c r="C466" s="373"/>
    </row>
    <row r="467" spans="3:3">
      <c r="C467" s="373"/>
    </row>
    <row r="468" spans="3:3">
      <c r="C468" s="373"/>
    </row>
    <row r="469" spans="3:3">
      <c r="C469" s="373"/>
    </row>
    <row r="470" spans="3:3">
      <c r="C470" s="373"/>
    </row>
    <row r="471" spans="3:3">
      <c r="C471" s="373"/>
    </row>
    <row r="472" spans="3:3">
      <c r="C472" s="373"/>
    </row>
    <row r="473" spans="3:3">
      <c r="C473" s="373"/>
    </row>
    <row r="474" spans="3:3">
      <c r="C474" s="373"/>
    </row>
    <row r="475" spans="3:3">
      <c r="C475" s="373"/>
    </row>
    <row r="476" spans="3:3">
      <c r="C476" s="373"/>
    </row>
    <row r="477" spans="3:3">
      <c r="C477" s="373"/>
    </row>
    <row r="478" spans="3:3">
      <c r="C478" s="373"/>
    </row>
    <row r="479" spans="3:3">
      <c r="C479" s="373"/>
    </row>
    <row r="480" spans="3:3">
      <c r="C480" s="373"/>
    </row>
    <row r="481" spans="3:3">
      <c r="C481" s="373"/>
    </row>
    <row r="482" spans="3:3">
      <c r="C482" s="373"/>
    </row>
    <row r="483" spans="3:3">
      <c r="C483" s="373"/>
    </row>
    <row r="484" spans="3:3">
      <c r="C484" s="373"/>
    </row>
    <row r="485" spans="3:3">
      <c r="C485" s="373"/>
    </row>
    <row r="486" spans="3:3">
      <c r="C486" s="373"/>
    </row>
    <row r="487" spans="3:3">
      <c r="C487" s="373"/>
    </row>
    <row r="488" spans="3:3">
      <c r="C488" s="373"/>
    </row>
    <row r="489" spans="3:3">
      <c r="C489" s="373"/>
    </row>
    <row r="490" spans="3:3">
      <c r="C490" s="373"/>
    </row>
    <row r="491" spans="3:3">
      <c r="C491" s="37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3123"/>
  <sheetViews>
    <sheetView topLeftCell="A226" zoomScale="115" zoomScaleNormal="115" workbookViewId="0">
      <selection activeCell="A163" sqref="A1:D1048576"/>
    </sheetView>
  </sheetViews>
  <sheetFormatPr defaultRowHeight="14.4"/>
  <cols>
    <col min="1" max="1" width="21.6640625" customWidth="1"/>
    <col min="2" max="2" width="21.5546875" style="30" customWidth="1"/>
    <col min="3" max="3" width="5.109375" hidden="1" customWidth="1"/>
    <col min="4" max="4" width="15.88671875" style="30" customWidth="1"/>
    <col min="5" max="5" width="14.44140625" customWidth="1"/>
    <col min="6" max="6" width="13.88671875" customWidth="1"/>
    <col min="7" max="7" width="10.44140625" customWidth="1"/>
  </cols>
  <sheetData>
    <row r="1" spans="1:4" ht="0.75" customHeight="1"/>
    <row r="2" spans="1:4">
      <c r="A2" s="184" t="s">
        <v>549</v>
      </c>
      <c r="B2" s="424">
        <f>'BANG LUONG 1'!$P$2</f>
        <v>43702</v>
      </c>
    </row>
    <row r="3" spans="1:4">
      <c r="A3" s="183" t="s">
        <v>1</v>
      </c>
      <c r="B3" s="185" t="s">
        <v>160</v>
      </c>
      <c r="C3" s="35">
        <v>1</v>
      </c>
      <c r="D3" s="41"/>
    </row>
    <row r="4" spans="1:4">
      <c r="A4" s="183" t="s">
        <v>2</v>
      </c>
      <c r="B4" s="185" t="str">
        <f>VLOOKUP($B3,'BANG LUONG 1'!$B$5:$AB$53,C4,0)</f>
        <v>Triệu Minh Tuấn</v>
      </c>
      <c r="C4" s="35">
        <v>2</v>
      </c>
      <c r="D4" s="41"/>
    </row>
    <row r="5" spans="1:4">
      <c r="A5" s="35" t="s">
        <v>3</v>
      </c>
      <c r="B5" s="41" t="str">
        <f>VLOOKUP($B3,'BANG LUONG 1'!$B$5:$AJ$53,C5,0)</f>
        <v xml:space="preserve">Công nhân </v>
      </c>
      <c r="C5" s="35">
        <v>3</v>
      </c>
      <c r="D5" s="41"/>
    </row>
    <row r="6" spans="1:4">
      <c r="A6" s="35" t="s">
        <v>376</v>
      </c>
      <c r="B6" s="410">
        <f>VLOOKUP($B3,'BANG LUONG 1'!$B$4:$AJ$55,4,0)</f>
        <v>41706</v>
      </c>
      <c r="C6" s="35">
        <v>4</v>
      </c>
      <c r="D6" s="41"/>
    </row>
    <row r="7" spans="1:4">
      <c r="A7" s="35" t="s">
        <v>698</v>
      </c>
      <c r="B7" s="411">
        <f>VLOOKUP(B3,'BANG LUONG 1'!$B$4:$AJ$55,6,0)</f>
        <v>0.05</v>
      </c>
      <c r="C7" s="35">
        <v>5</v>
      </c>
      <c r="D7" s="41"/>
    </row>
    <row r="8" spans="1:4">
      <c r="A8" s="35" t="s">
        <v>229</v>
      </c>
      <c r="B8" s="412">
        <f>'thang luong moi'!$F$5</f>
        <v>4012500</v>
      </c>
      <c r="C8" s="35">
        <v>6</v>
      </c>
      <c r="D8" s="41"/>
    </row>
    <row r="9" spans="1:4">
      <c r="A9" s="35" t="s">
        <v>217</v>
      </c>
      <c r="B9" s="412" t="str">
        <f>VLOOKUP(B3,'BANG LUONG 1'!$B$4:$AJ$55,8,0)</f>
        <v>B.05</v>
      </c>
      <c r="C9" s="35">
        <v>7</v>
      </c>
      <c r="D9" s="41"/>
    </row>
    <row r="10" spans="1:4">
      <c r="A10" s="35" t="s">
        <v>230</v>
      </c>
      <c r="B10" s="412">
        <f>VLOOKUP(B3,'BANG LUONG 1'!$B$4:$AJ$55,9,0)</f>
        <v>1</v>
      </c>
      <c r="C10" s="35">
        <v>8</v>
      </c>
      <c r="D10" s="41"/>
    </row>
    <row r="11" spans="1:4">
      <c r="A11" s="35" t="s">
        <v>538</v>
      </c>
      <c r="B11" s="412">
        <f>VLOOKUP(B3,'BANG LUONG 1'!$B$4:$AJ$55,11,0)</f>
        <v>4213125</v>
      </c>
      <c r="C11" s="35">
        <v>9</v>
      </c>
      <c r="D11" s="41"/>
    </row>
    <row r="12" spans="1:4">
      <c r="A12" s="35" t="s">
        <v>354</v>
      </c>
      <c r="B12" s="412">
        <f>VLOOKUP(B3,'BANG LUONG 1'!$B$4:$AJ$55,12,0)</f>
        <v>27</v>
      </c>
      <c r="C12" s="35">
        <v>10</v>
      </c>
      <c r="D12" s="41"/>
    </row>
    <row r="13" spans="1:4">
      <c r="A13" s="35" t="s">
        <v>534</v>
      </c>
      <c r="B13" s="412">
        <f>VLOOKUP(B3,'BANG LUONG 1'!$B$4:$AJ$55,13,0)</f>
        <v>4375168.269230769</v>
      </c>
      <c r="C13" s="35">
        <v>11</v>
      </c>
      <c r="D13" s="41"/>
    </row>
    <row r="14" spans="1:4">
      <c r="A14" s="35" t="s">
        <v>592</v>
      </c>
      <c r="B14" s="412">
        <f>VLOOKUP(B3,'BANG LUONG 1'!$B$4:$AJ$55,14,0)</f>
        <v>0</v>
      </c>
      <c r="C14" s="35">
        <v>12</v>
      </c>
      <c r="D14" s="41">
        <f>B11/26*B14</f>
        <v>0</v>
      </c>
    </row>
    <row r="15" spans="1:4">
      <c r="A15" s="35" t="s">
        <v>357</v>
      </c>
      <c r="B15" s="412">
        <f>VLOOKUP(B3,'BANG LUONG 1'!$B$4:$AJ$55,15,0)</f>
        <v>0</v>
      </c>
      <c r="C15" s="35">
        <v>13</v>
      </c>
      <c r="D15" s="41">
        <f>B11/26/8*1.5*B15</f>
        <v>0</v>
      </c>
    </row>
    <row r="16" spans="1:4">
      <c r="A16" s="35" t="s">
        <v>387</v>
      </c>
      <c r="B16" s="412">
        <f>VLOOKUP(B3,'BANG LUONG 1'!$B$4:$AJ$55,16,0)</f>
        <v>0</v>
      </c>
      <c r="C16" s="35">
        <v>14</v>
      </c>
      <c r="D16" s="41">
        <f>B11/26/8*2*B16</f>
        <v>0</v>
      </c>
    </row>
    <row r="17" spans="1:5">
      <c r="A17" s="35" t="s">
        <v>593</v>
      </c>
      <c r="B17" s="412">
        <f>VLOOKUP(B3,'BANG LUONG 1'!$B$4:$AJ$55,17,0)</f>
        <v>0</v>
      </c>
      <c r="C17" s="35"/>
      <c r="D17" s="41">
        <f>(B11/26)*B17</f>
        <v>0</v>
      </c>
    </row>
    <row r="18" spans="1:5">
      <c r="A18" s="35" t="s">
        <v>388</v>
      </c>
      <c r="B18" s="412">
        <f>VLOOKUP(B3,'BANG LUONG 1'!$B$4:$AJ$55,18,0)</f>
        <v>0</v>
      </c>
      <c r="C18" s="35">
        <v>15</v>
      </c>
      <c r="D18" s="41">
        <f>(B11/26*B18)*3</f>
        <v>0</v>
      </c>
    </row>
    <row r="19" spans="1:5">
      <c r="A19" s="35" t="s">
        <v>533</v>
      </c>
      <c r="B19" s="412">
        <f>VLOOKUP(B3,'BANG LUONG 1'!$B$4:$AJ$55,19,0)</f>
        <v>4375168.269230769</v>
      </c>
      <c r="C19" s="183">
        <v>16</v>
      </c>
      <c r="D19" s="185">
        <f>B13+D15+D16+D14+D18+D17</f>
        <v>4375168.269230769</v>
      </c>
      <c r="E19" s="108"/>
    </row>
    <row r="20" spans="1:5">
      <c r="A20" s="35" t="s">
        <v>535</v>
      </c>
      <c r="B20" s="412">
        <f>VLOOKUP(B3,'BANG LUONG 1'!$B$4:$AJ$55,20,0)</f>
        <v>-4375168.269230769</v>
      </c>
      <c r="C20" s="35">
        <v>17</v>
      </c>
      <c r="D20" s="41"/>
    </row>
    <row r="21" spans="1:5">
      <c r="A21" s="35" t="s">
        <v>370</v>
      </c>
      <c r="B21" s="412">
        <f>VLOOKUP(B3,'BANG LUONG 1'!$B$4:$AJ$55,22,0)</f>
        <v>210656.25</v>
      </c>
      <c r="C21" s="35">
        <v>18</v>
      </c>
      <c r="D21" s="41"/>
    </row>
    <row r="22" spans="1:5" ht="13.5" customHeight="1">
      <c r="A22" s="35" t="s">
        <v>371</v>
      </c>
      <c r="B22" s="412">
        <f>VLOOKUP(B3,'BANG LUONG 1'!$B$4:$AJ$55,23,0)</f>
        <v>300000</v>
      </c>
      <c r="C22" s="35">
        <v>19</v>
      </c>
      <c r="D22" s="41"/>
    </row>
    <row r="23" spans="1:5">
      <c r="A23" s="35" t="s">
        <v>560</v>
      </c>
      <c r="B23" s="412">
        <f>VLOOKUP(B3,'BANG LUONG 1'!$B$4:$AJ$55,24,0)</f>
        <v>0</v>
      </c>
      <c r="C23" s="35">
        <v>22</v>
      </c>
      <c r="D23" s="41"/>
    </row>
    <row r="24" spans="1:5">
      <c r="A24" s="183" t="s">
        <v>237</v>
      </c>
      <c r="B24" s="415">
        <f>VLOOKUP(B3,'BANG LUONG 1'!$B$4:$AJ$55,26,0)</f>
        <v>510656.25</v>
      </c>
      <c r="C24" s="35">
        <v>24</v>
      </c>
      <c r="D24" s="41"/>
    </row>
    <row r="25" spans="1:5">
      <c r="A25" s="35" t="s">
        <v>545</v>
      </c>
      <c r="B25" s="412">
        <f>VLOOKUP(B3,'BANG LUONG 1'!$B$4:$AJ$55,27,0)</f>
        <v>3000000</v>
      </c>
      <c r="C25" s="35">
        <v>25</v>
      </c>
      <c r="D25" s="41"/>
    </row>
    <row r="26" spans="1:5">
      <c r="A26" s="35" t="s">
        <v>544</v>
      </c>
      <c r="B26" s="412">
        <f>VLOOKUP(B3,'BANG LUONG 1'!$B$4:$AJ$55,28,0)</f>
        <v>480585</v>
      </c>
      <c r="C26" s="35">
        <v>26</v>
      </c>
      <c r="D26" s="41"/>
    </row>
    <row r="27" spans="1:5">
      <c r="A27" s="421" t="s">
        <v>713</v>
      </c>
      <c r="B27" s="415">
        <f>VLOOKUP(B3,'BANG LUONG 1'!$B$4:$AJ$55,32,0)</f>
        <v>0</v>
      </c>
      <c r="C27" s="421"/>
      <c r="D27" s="41"/>
    </row>
    <row r="28" spans="1:5">
      <c r="A28" s="421" t="s">
        <v>714</v>
      </c>
      <c r="B28" s="415">
        <f>VLOOKUP(B3,'BANG LUONG 1'!$B$4:$AJ$55,33,0)</f>
        <v>0</v>
      </c>
      <c r="C28" s="421"/>
      <c r="D28" s="41"/>
    </row>
    <row r="29" spans="1:5" ht="17.25" customHeight="1">
      <c r="A29" s="916" t="s">
        <v>901</v>
      </c>
      <c r="B29" s="415">
        <f>VLOOKUP(B3,'BANG LUONG 1'!$B$4:$AJ$55,34,0)</f>
        <v>0</v>
      </c>
      <c r="C29" s="35"/>
      <c r="D29" s="41"/>
      <c r="E29" s="108" t="str">
        <f>B4</f>
        <v>Triệu Minh Tuấn</v>
      </c>
    </row>
    <row r="30" spans="1:5">
      <c r="A30" s="183" t="s">
        <v>546</v>
      </c>
      <c r="B30" s="415">
        <f>VLOOKUP(B3,'BANG LUONG 1'!$B$4:$AJ$55,35,0)</f>
        <v>-2970000</v>
      </c>
      <c r="C30" s="35"/>
      <c r="D30" s="41"/>
    </row>
    <row r="31" spans="1:5">
      <c r="A31" s="184" t="s">
        <v>549</v>
      </c>
      <c r="B31" s="424">
        <f>'BANG LUONG 1'!$P$2</f>
        <v>43702</v>
      </c>
    </row>
    <row r="32" spans="1:5">
      <c r="A32" s="183" t="s">
        <v>1</v>
      </c>
      <c r="B32" s="185" t="s">
        <v>161</v>
      </c>
      <c r="C32" s="421">
        <v>1</v>
      </c>
      <c r="D32" s="41"/>
    </row>
    <row r="33" spans="1:5">
      <c r="A33" s="183" t="s">
        <v>2</v>
      </c>
      <c r="B33" s="185" t="str">
        <f>VLOOKUP($B32,'BANG LUONG 1'!$B$5:$AB$50,C33,0)</f>
        <v>Kim Em</v>
      </c>
      <c r="C33" s="421">
        <v>2</v>
      </c>
      <c r="D33" s="41"/>
    </row>
    <row r="34" spans="1:5">
      <c r="A34" s="421" t="s">
        <v>3</v>
      </c>
      <c r="B34" s="41" t="str">
        <f>VLOOKUP($B32,'BANG LUONG 1'!$B$5:$AJ$50,C34,0)</f>
        <v xml:space="preserve">Công nhân </v>
      </c>
      <c r="C34" s="421">
        <v>3</v>
      </c>
      <c r="D34" s="41"/>
    </row>
    <row r="35" spans="1:5">
      <c r="A35" s="421" t="s">
        <v>376</v>
      </c>
      <c r="B35" s="410">
        <f>VLOOKUP($B32,'BANG LUONG 1'!$B$4:$AJ$55,4,0)</f>
        <v>42413</v>
      </c>
      <c r="C35" s="421">
        <v>4</v>
      </c>
      <c r="D35" s="41"/>
    </row>
    <row r="36" spans="1:5">
      <c r="A36" s="421" t="s">
        <v>698</v>
      </c>
      <c r="B36" s="411">
        <f>VLOOKUP(B32,'BANG LUONG 1'!$B$4:$AJ$55,6,0)</f>
        <v>0.03</v>
      </c>
      <c r="C36" s="421">
        <v>5</v>
      </c>
      <c r="D36" s="41"/>
    </row>
    <row r="37" spans="1:5">
      <c r="A37" s="421" t="s">
        <v>229</v>
      </c>
      <c r="B37" s="412">
        <f>'thang luong moi'!$F$5</f>
        <v>4012500</v>
      </c>
      <c r="C37" s="421">
        <v>6</v>
      </c>
      <c r="D37" s="41"/>
    </row>
    <row r="38" spans="1:5">
      <c r="A38" s="421" t="s">
        <v>217</v>
      </c>
      <c r="B38" s="412" t="str">
        <f>VLOOKUP(B32,'BANG LUONG 1'!$B$4:$AJ$55,8,0)</f>
        <v>B.05</v>
      </c>
      <c r="C38" s="421">
        <v>7</v>
      </c>
      <c r="D38" s="41"/>
    </row>
    <row r="39" spans="1:5">
      <c r="A39" s="421" t="s">
        <v>230</v>
      </c>
      <c r="B39" s="412">
        <f>VLOOKUP(B32,'BANG LUONG 1'!$B$4:$AJ$55,9,0)</f>
        <v>1</v>
      </c>
      <c r="C39" s="421">
        <v>8</v>
      </c>
      <c r="D39" s="41"/>
    </row>
    <row r="40" spans="1:5">
      <c r="A40" s="421" t="s">
        <v>538</v>
      </c>
      <c r="B40" s="412">
        <f>VLOOKUP(B32,'BANG LUONG 1'!$B$4:$AJ$55,11,0)</f>
        <v>4213125</v>
      </c>
      <c r="C40" s="421">
        <v>9</v>
      </c>
      <c r="D40" s="41"/>
    </row>
    <row r="41" spans="1:5">
      <c r="A41" s="421" t="s">
        <v>354</v>
      </c>
      <c r="B41" s="412">
        <f>VLOOKUP(B32,'BANG LUONG 1'!$B$4:$AJ$55,12,0)</f>
        <v>27</v>
      </c>
      <c r="C41" s="421">
        <v>10</v>
      </c>
      <c r="D41" s="41"/>
    </row>
    <row r="42" spans="1:5">
      <c r="A42" s="421" t="s">
        <v>534</v>
      </c>
      <c r="B42" s="412">
        <f>VLOOKUP(B32,'BANG LUONG 1'!$B$4:$AJ$55,13,0)</f>
        <v>4375168.269230769</v>
      </c>
      <c r="C42" s="421">
        <v>11</v>
      </c>
      <c r="D42" s="41"/>
    </row>
    <row r="43" spans="1:5">
      <c r="A43" s="421" t="s">
        <v>592</v>
      </c>
      <c r="B43" s="412">
        <f>VLOOKUP(B32,'BANG LUONG 1'!$B$4:$AJ$55,14,0)</f>
        <v>0</v>
      </c>
      <c r="C43" s="421">
        <v>12</v>
      </c>
      <c r="D43" s="41">
        <f>B40/26*B43</f>
        <v>0</v>
      </c>
    </row>
    <row r="44" spans="1:5">
      <c r="A44" s="421" t="s">
        <v>357</v>
      </c>
      <c r="B44" s="412">
        <f>VLOOKUP(B32,'BANG LUONG 1'!$B$4:$AJ$55,15,0)</f>
        <v>0</v>
      </c>
      <c r="C44" s="421">
        <v>13</v>
      </c>
      <c r="D44" s="41">
        <f>B40/26/8*1.5*B44</f>
        <v>0</v>
      </c>
    </row>
    <row r="45" spans="1:5">
      <c r="A45" s="421" t="s">
        <v>387</v>
      </c>
      <c r="B45" s="412">
        <f>VLOOKUP(B32,'BANG LUONG 1'!$B$4:$AJ$55,16,0)</f>
        <v>0</v>
      </c>
      <c r="C45" s="421">
        <v>14</v>
      </c>
      <c r="D45" s="41">
        <f>B40/26/8*2*B45</f>
        <v>0</v>
      </c>
    </row>
    <row r="46" spans="1:5">
      <c r="A46" s="421" t="s">
        <v>593</v>
      </c>
      <c r="B46" s="412">
        <f>VLOOKUP(B32,'BANG LUONG 1'!$B$4:$AJ$55,17,0)</f>
        <v>0</v>
      </c>
      <c r="C46" s="421"/>
      <c r="D46" s="41">
        <f>(B40/26)*B46</f>
        <v>0</v>
      </c>
    </row>
    <row r="47" spans="1:5">
      <c r="A47" s="421" t="s">
        <v>388</v>
      </c>
      <c r="B47" s="412">
        <f>VLOOKUP(B32,'BANG LUONG 1'!$B$4:$AJ$55,18,0)</f>
        <v>0</v>
      </c>
      <c r="C47" s="421">
        <v>15</v>
      </c>
      <c r="D47" s="41">
        <f>(B40/26*B47)*3</f>
        <v>0</v>
      </c>
    </row>
    <row r="48" spans="1:5">
      <c r="A48" s="421" t="s">
        <v>533</v>
      </c>
      <c r="B48" s="412">
        <f>VLOOKUP(B32,'BANG LUONG 1'!$B$4:$AJ$55,19,0)</f>
        <v>4375168.269230769</v>
      </c>
      <c r="C48" s="183">
        <v>16</v>
      </c>
      <c r="D48" s="185">
        <f>B42+D44+D45+D43+D47+D46</f>
        <v>4375168.269230769</v>
      </c>
      <c r="E48" s="108"/>
    </row>
    <row r="49" spans="1:5">
      <c r="A49" s="421" t="s">
        <v>535</v>
      </c>
      <c r="B49" s="412">
        <f>VLOOKUP(B32,'BANG LUONG 1'!$B$4:$AJ$55,20,0)</f>
        <v>-4375168.269230769</v>
      </c>
      <c r="C49" s="421">
        <v>17</v>
      </c>
      <c r="D49" s="41"/>
    </row>
    <row r="50" spans="1:5">
      <c r="A50" s="421" t="s">
        <v>370</v>
      </c>
      <c r="B50" s="412">
        <f>VLOOKUP(B32,'BANG LUONG 1'!$B$4:$AJ$55,22,0)</f>
        <v>126393.75</v>
      </c>
      <c r="C50" s="421">
        <v>18</v>
      </c>
      <c r="D50" s="41"/>
    </row>
    <row r="51" spans="1:5" ht="13.5" customHeight="1">
      <c r="A51" s="421" t="s">
        <v>371</v>
      </c>
      <c r="B51" s="412">
        <f>VLOOKUP(B32,'BANG LUONG 1'!$B$4:$AJ$55,23,0)</f>
        <v>300000</v>
      </c>
      <c r="C51" s="421">
        <v>19</v>
      </c>
      <c r="D51" s="41"/>
    </row>
    <row r="52" spans="1:5">
      <c r="A52" s="421" t="s">
        <v>560</v>
      </c>
      <c r="B52" s="412">
        <f>VLOOKUP(B32,'BANG LUONG 1'!$B$4:$AJ$55,24,0)</f>
        <v>0</v>
      </c>
      <c r="C52" s="421">
        <v>22</v>
      </c>
      <c r="D52" s="41"/>
    </row>
    <row r="53" spans="1:5">
      <c r="A53" s="183" t="s">
        <v>237</v>
      </c>
      <c r="B53" s="415">
        <f>VLOOKUP(B32,'BANG LUONG 1'!$B$4:$AJ$55,26,0)</f>
        <v>426393.75</v>
      </c>
      <c r="C53" s="421">
        <v>24</v>
      </c>
      <c r="D53" s="41"/>
    </row>
    <row r="54" spans="1:5">
      <c r="A54" s="421" t="s">
        <v>545</v>
      </c>
      <c r="B54" s="412">
        <f>VLOOKUP(B32,'BANG LUONG 1'!$B$4:$AJ$55,27,0)</f>
        <v>3000000</v>
      </c>
      <c r="C54" s="421">
        <v>25</v>
      </c>
      <c r="D54" s="41"/>
    </row>
    <row r="55" spans="1:5">
      <c r="A55" s="421" t="s">
        <v>544</v>
      </c>
      <c r="B55" s="412">
        <f>VLOOKUP(B32,'BANG LUONG 1'!$B$4:$AJ$55,28,0)</f>
        <v>480585</v>
      </c>
      <c r="C55" s="421">
        <v>26</v>
      </c>
      <c r="D55" s="41"/>
    </row>
    <row r="56" spans="1:5">
      <c r="A56" s="421" t="s">
        <v>713</v>
      </c>
      <c r="B56" s="415">
        <f>VLOOKUP(B32,'BANG LUONG 1'!$B$4:$AJ$55,32,0)</f>
        <v>0</v>
      </c>
      <c r="C56" s="421"/>
      <c r="D56" s="41"/>
    </row>
    <row r="57" spans="1:5">
      <c r="A57" s="421" t="s">
        <v>714</v>
      </c>
      <c r="B57" s="415">
        <f>VLOOKUP(B32,'BANG LUONG 1'!$B$4:$AJ$55,33,0)</f>
        <v>0</v>
      </c>
      <c r="C57" s="421"/>
      <c r="D57" s="41"/>
    </row>
    <row r="58" spans="1:5">
      <c r="A58" s="183" t="s">
        <v>707</v>
      </c>
      <c r="B58" s="415">
        <f>VLOOKUP(B32,'BANG LUONG 1'!$B$4:$AJ$55,30,0)</f>
        <v>0</v>
      </c>
      <c r="C58" s="421"/>
      <c r="D58" s="41"/>
      <c r="E58" s="108" t="str">
        <f>B33</f>
        <v>Kim Em</v>
      </c>
    </row>
    <row r="59" spans="1:5">
      <c r="A59" s="183" t="s">
        <v>546</v>
      </c>
      <c r="B59" s="415">
        <f>VLOOKUP(B32,'BANG LUONG 1'!$B$4:$AJ$55,35,0)</f>
        <v>-3054000</v>
      </c>
      <c r="C59" s="421"/>
      <c r="D59" s="41"/>
    </row>
    <row r="60" spans="1:5">
      <c r="A60" s="184" t="s">
        <v>549</v>
      </c>
      <c r="B60" s="424">
        <f>'BANG LUONG 1'!$P$2</f>
        <v>43702</v>
      </c>
    </row>
    <row r="61" spans="1:5">
      <c r="A61" s="183" t="s">
        <v>1</v>
      </c>
      <c r="B61" s="185" t="s">
        <v>162</v>
      </c>
      <c r="C61" s="421">
        <v>1</v>
      </c>
      <c r="D61" s="41"/>
    </row>
    <row r="62" spans="1:5">
      <c r="A62" s="183" t="s">
        <v>2</v>
      </c>
      <c r="B62" s="185" t="str">
        <f>VLOOKUP($B61,'BANG LUONG 1'!$B$5:$AB$50,C62,0)</f>
        <v>Đặng Hải Bằng</v>
      </c>
      <c r="C62" s="421">
        <v>2</v>
      </c>
      <c r="D62" s="41"/>
    </row>
    <row r="63" spans="1:5" ht="14.25" customHeight="1">
      <c r="A63" s="421" t="s">
        <v>3</v>
      </c>
      <c r="B63" s="41" t="str">
        <f>VLOOKUP($B61,'BANG LUONG 1'!$B$5:$AJ$50,C63,0)</f>
        <v xml:space="preserve">Công nhân </v>
      </c>
      <c r="C63" s="421">
        <v>3</v>
      </c>
      <c r="D63" s="41"/>
    </row>
    <row r="64" spans="1:5" ht="14.25" customHeight="1">
      <c r="A64" s="421" t="s">
        <v>376</v>
      </c>
      <c r="B64" s="410">
        <f>VLOOKUP($B61,'BANG LUONG 1'!$B$4:$AJ$55,4,0)</f>
        <v>43523</v>
      </c>
      <c r="C64" s="421">
        <v>4</v>
      </c>
      <c r="D64" s="41"/>
    </row>
    <row r="65" spans="1:5" ht="14.25" customHeight="1">
      <c r="A65" s="421" t="s">
        <v>698</v>
      </c>
      <c r="B65" s="411">
        <f>VLOOKUP(B61,'BANG LUONG 1'!$B$4:$AJ$55,6,0)</f>
        <v>0</v>
      </c>
      <c r="C65" s="421">
        <v>5</v>
      </c>
      <c r="D65" s="41"/>
    </row>
    <row r="66" spans="1:5" ht="14.25" customHeight="1">
      <c r="A66" s="421" t="s">
        <v>229</v>
      </c>
      <c r="B66" s="412">
        <f>'thang luong moi'!$F$5</f>
        <v>4012500</v>
      </c>
      <c r="C66" s="421">
        <v>6</v>
      </c>
      <c r="D66" s="41"/>
    </row>
    <row r="67" spans="1:5" ht="14.25" customHeight="1">
      <c r="A67" s="421" t="s">
        <v>217</v>
      </c>
      <c r="B67" s="412" t="str">
        <f>VLOOKUP(B61,'BANG LUONG 1'!$B$4:$AJ$55,8,0)</f>
        <v>B.05</v>
      </c>
      <c r="C67" s="421">
        <v>7</v>
      </c>
      <c r="D67" s="41"/>
    </row>
    <row r="68" spans="1:5" ht="14.25" customHeight="1">
      <c r="A68" s="421" t="s">
        <v>230</v>
      </c>
      <c r="B68" s="412">
        <f>VLOOKUP(B61,'BANG LUONG 1'!$B$4:$AJ$55,9,0)</f>
        <v>1</v>
      </c>
      <c r="C68" s="421">
        <v>8</v>
      </c>
      <c r="D68" s="41"/>
    </row>
    <row r="69" spans="1:5" ht="14.25" customHeight="1">
      <c r="A69" s="421" t="s">
        <v>538</v>
      </c>
      <c r="B69" s="412">
        <f>VLOOKUP(B61,'BANG LUONG 1'!$B$4:$AJ$55,11,0)</f>
        <v>4213125</v>
      </c>
      <c r="C69" s="421">
        <v>9</v>
      </c>
      <c r="D69" s="41"/>
    </row>
    <row r="70" spans="1:5" ht="14.25" customHeight="1">
      <c r="A70" s="421" t="s">
        <v>354</v>
      </c>
      <c r="B70" s="412">
        <f>VLOOKUP(B61,'BANG LUONG 1'!$B$4:$AJ$55,12,0)</f>
        <v>27</v>
      </c>
      <c r="C70" s="421">
        <v>10</v>
      </c>
      <c r="D70" s="41"/>
    </row>
    <row r="71" spans="1:5" ht="14.25" customHeight="1">
      <c r="A71" s="421" t="s">
        <v>534</v>
      </c>
      <c r="B71" s="412">
        <f>VLOOKUP(B61,'BANG LUONG 1'!$B$4:$AJ$55,13,0)</f>
        <v>4375168.269230769</v>
      </c>
      <c r="C71" s="421">
        <v>11</v>
      </c>
      <c r="D71" s="41"/>
    </row>
    <row r="72" spans="1:5" ht="14.25" customHeight="1">
      <c r="A72" s="421" t="s">
        <v>592</v>
      </c>
      <c r="B72" s="412">
        <f>VLOOKUP(B61,'BANG LUONG 1'!$B$4:$AJ$55,14,0)</f>
        <v>0</v>
      </c>
      <c r="C72" s="421">
        <v>12</v>
      </c>
      <c r="D72" s="41">
        <f>B69/26*B72</f>
        <v>0</v>
      </c>
    </row>
    <row r="73" spans="1:5" ht="14.25" customHeight="1">
      <c r="A73" s="421" t="s">
        <v>357</v>
      </c>
      <c r="B73" s="412">
        <f>VLOOKUP(B61,'BANG LUONG 1'!$B$4:$AJ$55,15,0)</f>
        <v>0</v>
      </c>
      <c r="C73" s="421">
        <v>13</v>
      </c>
      <c r="D73" s="41">
        <f>B69/26/8*1.5*B73</f>
        <v>0</v>
      </c>
    </row>
    <row r="74" spans="1:5" ht="14.25" customHeight="1">
      <c r="A74" s="421" t="s">
        <v>387</v>
      </c>
      <c r="B74" s="412">
        <f>VLOOKUP(B61,'BANG LUONG 1'!$B$4:$AJ$55,16,0)</f>
        <v>0</v>
      </c>
      <c r="C74" s="421">
        <v>14</v>
      </c>
      <c r="D74" s="41">
        <f>B69/26/8*2*B74</f>
        <v>0</v>
      </c>
    </row>
    <row r="75" spans="1:5" ht="14.25" customHeight="1">
      <c r="A75" s="421" t="s">
        <v>593</v>
      </c>
      <c r="B75" s="412">
        <f>VLOOKUP(B61,'BANG LUONG 1'!$B$4:$AJ$55,17,0)</f>
        <v>0</v>
      </c>
      <c r="C75" s="421"/>
      <c r="D75" s="41">
        <f>(B69/26)*B75</f>
        <v>0</v>
      </c>
    </row>
    <row r="76" spans="1:5" ht="14.25" customHeight="1">
      <c r="A76" s="421" t="s">
        <v>388</v>
      </c>
      <c r="B76" s="412">
        <f>VLOOKUP(B61,'BANG LUONG 1'!$B$4:$AJ$55,18,0)</f>
        <v>0</v>
      </c>
      <c r="C76" s="421">
        <v>15</v>
      </c>
      <c r="D76" s="41">
        <f>(B69/26*B76)*3</f>
        <v>0</v>
      </c>
    </row>
    <row r="77" spans="1:5" ht="14.25" customHeight="1">
      <c r="A77" s="421" t="s">
        <v>533</v>
      </c>
      <c r="B77" s="412">
        <f>VLOOKUP(B61,'BANG LUONG 1'!$B$4:$AJ$55,19,0)</f>
        <v>4375168.269230769</v>
      </c>
      <c r="C77" s="183">
        <v>16</v>
      </c>
      <c r="D77" s="185">
        <f>B71+D73+D74+D72+D76+D75</f>
        <v>4375168.269230769</v>
      </c>
      <c r="E77" s="108"/>
    </row>
    <row r="78" spans="1:5" ht="14.25" customHeight="1">
      <c r="A78" s="421" t="s">
        <v>535</v>
      </c>
      <c r="B78" s="412">
        <f>VLOOKUP(B61,'BANG LUONG 1'!$B$4:$AJ$55,20,0)</f>
        <v>-4375168.269230769</v>
      </c>
      <c r="C78" s="421">
        <v>17</v>
      </c>
      <c r="D78" s="41"/>
    </row>
    <row r="79" spans="1:5" ht="14.25" customHeight="1">
      <c r="A79" s="421" t="s">
        <v>370</v>
      </c>
      <c r="B79" s="412">
        <f>VLOOKUP(B61,'BANG LUONG 1'!$B$4:$AJ$55,22,0)</f>
        <v>0</v>
      </c>
      <c r="C79" s="421">
        <v>18</v>
      </c>
      <c r="D79" s="41"/>
    </row>
    <row r="80" spans="1:5" ht="14.25" customHeight="1">
      <c r="A80" s="421" t="s">
        <v>371</v>
      </c>
      <c r="B80" s="412">
        <f>VLOOKUP(B61,'BANG LUONG 1'!$B$4:$AJ$55,23,0)</f>
        <v>300000</v>
      </c>
      <c r="C80" s="421">
        <v>19</v>
      </c>
      <c r="D80" s="41"/>
    </row>
    <row r="81" spans="1:5" ht="14.25" customHeight="1">
      <c r="A81" s="421" t="s">
        <v>560</v>
      </c>
      <c r="B81" s="412">
        <f>VLOOKUP(B61,'BANG LUONG 1'!$B$4:$AJ$55,24,0)</f>
        <v>0</v>
      </c>
      <c r="C81" s="421">
        <v>22</v>
      </c>
      <c r="D81" s="41"/>
    </row>
    <row r="82" spans="1:5" ht="14.25" customHeight="1">
      <c r="A82" s="183" t="s">
        <v>237</v>
      </c>
      <c r="B82" s="415">
        <f>VLOOKUP(B61,'BANG LUONG 1'!$B$4:$AJ$55,26,0)</f>
        <v>300000</v>
      </c>
      <c r="C82" s="421">
        <v>24</v>
      </c>
      <c r="D82" s="41"/>
    </row>
    <row r="83" spans="1:5" ht="14.25" customHeight="1">
      <c r="A83" s="421" t="s">
        <v>545</v>
      </c>
      <c r="B83" s="412">
        <f>VLOOKUP(B61,'BANG LUONG 1'!$B$4:$AJ$55,27,0)</f>
        <v>0</v>
      </c>
      <c r="C83" s="421">
        <v>25</v>
      </c>
      <c r="D83" s="41"/>
    </row>
    <row r="84" spans="1:5" ht="14.25" customHeight="1">
      <c r="A84" s="421" t="s">
        <v>544</v>
      </c>
      <c r="B84" s="412">
        <f>VLOOKUP(B61,'BANG LUONG 1'!$B$4:$AJ$55,28,0)</f>
        <v>0</v>
      </c>
      <c r="C84" s="421">
        <v>26</v>
      </c>
      <c r="D84" s="41"/>
    </row>
    <row r="85" spans="1:5" ht="14.25" customHeight="1">
      <c r="A85" s="421" t="s">
        <v>713</v>
      </c>
      <c r="B85" s="415">
        <f>VLOOKUP(B61,'BANG LUONG 1'!$B$4:$AJ$55,32,0)</f>
        <v>0</v>
      </c>
      <c r="C85" s="421"/>
      <c r="D85" s="41"/>
    </row>
    <row r="86" spans="1:5" ht="14.25" customHeight="1">
      <c r="A86" s="421" t="s">
        <v>714</v>
      </c>
      <c r="B86" s="415">
        <f>VLOOKUP(B61,'BANG LUONG 1'!$B$4:$AJ$55,33,0)</f>
        <v>0</v>
      </c>
      <c r="C86" s="421"/>
      <c r="D86" s="41"/>
    </row>
    <row r="87" spans="1:5" ht="14.25" customHeight="1">
      <c r="A87" s="183" t="s">
        <v>707</v>
      </c>
      <c r="B87" s="415">
        <f>VLOOKUP(B61,'BANG LUONG 1'!$B$4:$AJ$55,30,0)</f>
        <v>0</v>
      </c>
      <c r="C87" s="421"/>
      <c r="D87" s="41"/>
      <c r="E87" s="108" t="str">
        <f>B62</f>
        <v>Đặng Hải Bằng</v>
      </c>
    </row>
    <row r="88" spans="1:5" ht="14.25" customHeight="1">
      <c r="A88" s="183" t="s">
        <v>546</v>
      </c>
      <c r="B88" s="415">
        <f>VLOOKUP(B61,'BANG LUONG 1'!$B$4:$AJ$55,35,0)</f>
        <v>300000</v>
      </c>
      <c r="C88" s="421"/>
      <c r="D88" s="41"/>
    </row>
    <row r="89" spans="1:5" ht="14.25" customHeight="1">
      <c r="A89" s="526"/>
      <c r="B89" s="728"/>
      <c r="C89" s="129"/>
      <c r="D89" s="133"/>
    </row>
    <row r="90" spans="1:5">
      <c r="A90" s="184" t="s">
        <v>549</v>
      </c>
      <c r="B90" s="424">
        <f>'BANG LUONG 1'!$P$2</f>
        <v>43702</v>
      </c>
    </row>
    <row r="91" spans="1:5">
      <c r="A91" s="183" t="s">
        <v>1</v>
      </c>
      <c r="B91" s="185" t="s">
        <v>165</v>
      </c>
      <c r="C91" s="421">
        <v>1</v>
      </c>
      <c r="D91" s="41"/>
    </row>
    <row r="92" spans="1:5">
      <c r="A92" s="183" t="s">
        <v>2</v>
      </c>
      <c r="B92" s="185" t="str">
        <f>VLOOKUP($B91,'BANG LUONG 1'!$B$5:$AB$60,C92,0)</f>
        <v>Danh Ngòi</v>
      </c>
      <c r="C92" s="421">
        <v>2</v>
      </c>
      <c r="D92" s="41"/>
    </row>
    <row r="93" spans="1:5" ht="14.25" customHeight="1">
      <c r="A93" s="421" t="s">
        <v>3</v>
      </c>
      <c r="B93" s="41" t="str">
        <f>VLOOKUP($B91,'BANG LUONG 1'!$B$5:$AJ$60,C93,0)</f>
        <v>Công nhân</v>
      </c>
      <c r="C93" s="421">
        <v>3</v>
      </c>
      <c r="D93" s="41"/>
    </row>
    <row r="94" spans="1:5" ht="14.25" customHeight="1">
      <c r="A94" s="421" t="s">
        <v>376</v>
      </c>
      <c r="B94" s="410">
        <f>VLOOKUP($B91,'BANG LUONG 1'!$B$4:$AJ$55,4,0)</f>
        <v>43626</v>
      </c>
      <c r="C94" s="421">
        <v>4</v>
      </c>
      <c r="D94" s="41"/>
    </row>
    <row r="95" spans="1:5" ht="14.25" customHeight="1">
      <c r="A95" s="421" t="s">
        <v>698</v>
      </c>
      <c r="B95" s="411">
        <f>VLOOKUP(B91,'BANG LUONG 1'!$B$4:$AJ$55,6,0)</f>
        <v>0</v>
      </c>
      <c r="C95" s="421">
        <v>5</v>
      </c>
      <c r="D95" s="41"/>
    </row>
    <row r="96" spans="1:5" ht="14.25" customHeight="1">
      <c r="A96" s="421" t="s">
        <v>229</v>
      </c>
      <c r="B96" s="412">
        <f>'thang luong moi'!$F$5</f>
        <v>4012500</v>
      </c>
      <c r="C96" s="421">
        <v>6</v>
      </c>
      <c r="D96" s="41"/>
    </row>
    <row r="97" spans="1:5" ht="14.25" customHeight="1">
      <c r="A97" s="421" t="s">
        <v>217</v>
      </c>
      <c r="B97" s="412" t="str">
        <f>VLOOKUP(B91,'BANG LUONG 1'!$B$4:$AJ$55,8,0)</f>
        <v>B.05</v>
      </c>
      <c r="C97" s="421">
        <v>7</v>
      </c>
      <c r="D97" s="41"/>
    </row>
    <row r="98" spans="1:5" ht="14.25" customHeight="1">
      <c r="A98" s="421" t="s">
        <v>230</v>
      </c>
      <c r="B98" s="412">
        <f>VLOOKUP(B91,'BANG LUONG 1'!$B$4:$AJ$55,9,0)</f>
        <v>1</v>
      </c>
      <c r="C98" s="421">
        <v>8</v>
      </c>
      <c r="D98" s="41"/>
    </row>
    <row r="99" spans="1:5" ht="14.25" customHeight="1">
      <c r="A99" s="421" t="s">
        <v>538</v>
      </c>
      <c r="B99" s="412">
        <f>VLOOKUP(B91,'BANG LUONG 1'!$B$4:$AJ$55,11,0)</f>
        <v>4213125</v>
      </c>
      <c r="C99" s="421">
        <v>9</v>
      </c>
      <c r="D99" s="41"/>
    </row>
    <row r="100" spans="1:5" ht="14.25" customHeight="1">
      <c r="A100" s="421" t="s">
        <v>354</v>
      </c>
      <c r="B100" s="412">
        <f>VLOOKUP(B91,'BANG LUONG 1'!$B$4:$AJ$55,12,0)</f>
        <v>27</v>
      </c>
      <c r="C100" s="421">
        <v>10</v>
      </c>
      <c r="D100" s="41"/>
    </row>
    <row r="101" spans="1:5" ht="14.25" customHeight="1">
      <c r="A101" s="421" t="s">
        <v>534</v>
      </c>
      <c r="B101" s="412">
        <f>VLOOKUP(B91,'BANG LUONG 1'!$B$4:$AJ$55,13,0)</f>
        <v>4375168.269230769</v>
      </c>
      <c r="C101" s="421">
        <v>11</v>
      </c>
      <c r="D101" s="41"/>
    </row>
    <row r="102" spans="1:5" ht="14.25" customHeight="1">
      <c r="A102" s="421" t="s">
        <v>592</v>
      </c>
      <c r="B102" s="412">
        <f>VLOOKUP(B91,'BANG LUONG 1'!$B$4:$AJ$55,14,0)</f>
        <v>0</v>
      </c>
      <c r="C102" s="421">
        <v>12</v>
      </c>
      <c r="D102" s="41">
        <f>B99/26*B102</f>
        <v>0</v>
      </c>
    </row>
    <row r="103" spans="1:5" ht="14.25" customHeight="1">
      <c r="A103" s="421" t="s">
        <v>357</v>
      </c>
      <c r="B103" s="412">
        <f>VLOOKUP(B91,'BANG LUONG 1'!$B$4:$AJ$55,15,0)</f>
        <v>0</v>
      </c>
      <c r="C103" s="421">
        <v>13</v>
      </c>
      <c r="D103" s="41">
        <f>B99/26/8*1.5*B103</f>
        <v>0</v>
      </c>
    </row>
    <row r="104" spans="1:5" ht="14.25" customHeight="1">
      <c r="A104" s="421" t="s">
        <v>387</v>
      </c>
      <c r="B104" s="412">
        <f>VLOOKUP(B91,'BANG LUONG 1'!$B$4:$AJ$55,16,0)</f>
        <v>0</v>
      </c>
      <c r="C104" s="421">
        <v>14</v>
      </c>
      <c r="D104" s="41">
        <f>B99/26/8*2*B104</f>
        <v>0</v>
      </c>
    </row>
    <row r="105" spans="1:5" ht="14.25" customHeight="1">
      <c r="A105" s="421" t="s">
        <v>593</v>
      </c>
      <c r="B105" s="412">
        <f>VLOOKUP(B91,'BANG LUONG 1'!$B$4:$AJ$55,17,0)</f>
        <v>0</v>
      </c>
      <c r="C105" s="421"/>
      <c r="D105" s="41">
        <f>(B99/26)*B105</f>
        <v>0</v>
      </c>
    </row>
    <row r="106" spans="1:5" ht="14.25" customHeight="1">
      <c r="A106" s="421" t="s">
        <v>388</v>
      </c>
      <c r="B106" s="412">
        <f>VLOOKUP(B91,'BANG LUONG 1'!$B$4:$AJ$55,18,0)</f>
        <v>0</v>
      </c>
      <c r="C106" s="421">
        <v>15</v>
      </c>
      <c r="D106" s="41">
        <f>(B99/26*B106)*3</f>
        <v>0</v>
      </c>
    </row>
    <row r="107" spans="1:5" ht="14.25" customHeight="1">
      <c r="A107" s="421" t="s">
        <v>533</v>
      </c>
      <c r="B107" s="412">
        <f>VLOOKUP(B91,'BANG LUONG 1'!$B$4:$AJ$55,19,0)</f>
        <v>4375168.269230769</v>
      </c>
      <c r="C107" s="183">
        <v>16</v>
      </c>
      <c r="D107" s="185">
        <f>B101+D103+D104+D102+D106+D105</f>
        <v>4375168.269230769</v>
      </c>
      <c r="E107" s="108"/>
    </row>
    <row r="108" spans="1:5" ht="14.25" customHeight="1">
      <c r="A108" s="421" t="s">
        <v>535</v>
      </c>
      <c r="B108" s="412">
        <f>VLOOKUP(B91,'BANG LUONG 1'!$B$4:$AJ$55,20,0)</f>
        <v>-4375168.269230769</v>
      </c>
      <c r="C108" s="421">
        <v>17</v>
      </c>
      <c r="D108" s="41"/>
    </row>
    <row r="109" spans="1:5" ht="14.25" customHeight="1">
      <c r="A109" s="421" t="s">
        <v>370</v>
      </c>
      <c r="B109" s="412">
        <f>VLOOKUP(B91,'BANG LUONG 1'!$B$4:$AJ$55,22,0)</f>
        <v>0</v>
      </c>
      <c r="C109" s="421">
        <v>18</v>
      </c>
      <c r="D109" s="41"/>
    </row>
    <row r="110" spans="1:5" ht="14.25" customHeight="1">
      <c r="A110" s="421" t="s">
        <v>371</v>
      </c>
      <c r="B110" s="412">
        <f>VLOOKUP(B91,'BANG LUONG 1'!$B$4:$AJ$55,23,0)</f>
        <v>300000</v>
      </c>
      <c r="C110" s="421">
        <v>19</v>
      </c>
      <c r="D110" s="41"/>
    </row>
    <row r="111" spans="1:5" ht="14.25" customHeight="1">
      <c r="A111" s="421" t="s">
        <v>560</v>
      </c>
      <c r="B111" s="412">
        <f>VLOOKUP(B91,'BANG LUONG 1'!$B$4:$AJ$55,24,0)</f>
        <v>0</v>
      </c>
      <c r="C111" s="421">
        <v>22</v>
      </c>
      <c r="D111" s="41"/>
    </row>
    <row r="112" spans="1:5" ht="14.25" customHeight="1">
      <c r="A112" s="183" t="s">
        <v>237</v>
      </c>
      <c r="B112" s="415">
        <f>VLOOKUP(B91,'BANG LUONG 1'!$B$4:$AJ$55,26,0)</f>
        <v>300000</v>
      </c>
      <c r="C112" s="421">
        <v>24</v>
      </c>
      <c r="D112" s="41"/>
    </row>
    <row r="113" spans="1:5" ht="14.25" customHeight="1">
      <c r="A113" s="421" t="s">
        <v>545</v>
      </c>
      <c r="B113" s="412">
        <f>VLOOKUP(B91,'BANG LUONG 1'!$B$4:$AJ$55,27,0)</f>
        <v>0</v>
      </c>
      <c r="C113" s="421">
        <v>25</v>
      </c>
      <c r="D113" s="41"/>
    </row>
    <row r="114" spans="1:5" ht="14.25" customHeight="1">
      <c r="A114" s="421" t="s">
        <v>544</v>
      </c>
      <c r="B114" s="412">
        <f>VLOOKUP(B91,'BANG LUONG 1'!$B$4:$AJ$55,28,0)</f>
        <v>0</v>
      </c>
      <c r="C114" s="421">
        <v>26</v>
      </c>
      <c r="D114" s="41"/>
    </row>
    <row r="115" spans="1:5" ht="14.25" customHeight="1">
      <c r="A115" s="421" t="s">
        <v>713</v>
      </c>
      <c r="B115" s="415">
        <f>VLOOKUP(B91,'BANG LUONG 1'!$B$4:$AJ$55,32,0)</f>
        <v>0</v>
      </c>
      <c r="C115" s="421"/>
      <c r="D115" s="41"/>
    </row>
    <row r="116" spans="1:5" ht="14.25" customHeight="1">
      <c r="A116" s="421" t="s">
        <v>714</v>
      </c>
      <c r="B116" s="415">
        <f>VLOOKUP(B91,'BANG LUONG 1'!$B$4:$AJ$55,33,0)</f>
        <v>0</v>
      </c>
      <c r="C116" s="421"/>
      <c r="D116" s="41"/>
    </row>
    <row r="117" spans="1:5" ht="14.25" customHeight="1">
      <c r="A117" s="183" t="s">
        <v>707</v>
      </c>
      <c r="B117" s="415">
        <f>VLOOKUP(B91,'BANG LUONG 1'!$B$4:$AJ$55,30,0)</f>
        <v>0</v>
      </c>
      <c r="C117" s="421"/>
      <c r="D117" s="41"/>
      <c r="E117" s="108" t="str">
        <f>B92</f>
        <v>Danh Ngòi</v>
      </c>
    </row>
    <row r="118" spans="1:5" ht="14.25" customHeight="1">
      <c r="A118" s="183" t="s">
        <v>546</v>
      </c>
      <c r="B118" s="415">
        <f>VLOOKUP(B91,'BANG LUONG 1'!$B$4:$AJ$55,35,0)</f>
        <v>300000</v>
      </c>
      <c r="C118" s="421"/>
      <c r="D118" s="41"/>
    </row>
    <row r="119" spans="1:5" ht="14.25" customHeight="1">
      <c r="A119" s="526"/>
      <c r="B119" s="728"/>
      <c r="C119" s="129"/>
      <c r="D119" s="133"/>
    </row>
    <row r="120" spans="1:5" ht="18" customHeight="1">
      <c r="A120" s="184" t="s">
        <v>549</v>
      </c>
      <c r="B120" s="424">
        <f>'BANG LUONG 1'!$P$2</f>
        <v>43702</v>
      </c>
    </row>
    <row r="121" spans="1:5">
      <c r="A121" s="183" t="s">
        <v>1</v>
      </c>
      <c r="B121" s="185" t="s">
        <v>168</v>
      </c>
      <c r="C121" s="421">
        <v>1</v>
      </c>
      <c r="D121" s="41"/>
    </row>
    <row r="122" spans="1:5">
      <c r="A122" s="183" t="s">
        <v>2</v>
      </c>
      <c r="B122" s="185" t="str">
        <f>VLOOKUP($B121,'BANG LUONG 1'!$B$5:$AB$50,C122,0)</f>
        <v>Nguyễn Văn Chương</v>
      </c>
      <c r="C122" s="421">
        <v>2</v>
      </c>
      <c r="D122" s="41"/>
    </row>
    <row r="123" spans="1:5">
      <c r="A123" s="421" t="s">
        <v>3</v>
      </c>
      <c r="B123" s="41" t="str">
        <f>VLOOKUP($B121,'BANG LUONG 1'!$B$5:$AJ$50,C123,0)</f>
        <v xml:space="preserve">Công nhân </v>
      </c>
      <c r="C123" s="421">
        <v>3</v>
      </c>
      <c r="D123" s="41"/>
    </row>
    <row r="124" spans="1:5">
      <c r="A124" s="421" t="s">
        <v>376</v>
      </c>
      <c r="B124" s="410">
        <f>VLOOKUP($B121,'BANG LUONG 1'!$B$4:$AJ$55,4,0)</f>
        <v>43697</v>
      </c>
      <c r="C124" s="421">
        <v>4</v>
      </c>
      <c r="D124" s="41"/>
    </row>
    <row r="125" spans="1:5">
      <c r="A125" s="421" t="s">
        <v>698</v>
      </c>
      <c r="B125" s="411">
        <f>VLOOKUP(B121,'BANG LUONG 1'!$B$4:$AJ$55,6,0)</f>
        <v>0</v>
      </c>
      <c r="C125" s="421">
        <v>5</v>
      </c>
      <c r="D125" s="41"/>
    </row>
    <row r="126" spans="1:5">
      <c r="A126" s="421" t="s">
        <v>229</v>
      </c>
      <c r="B126" s="412">
        <f>'thang luong moi'!$F$5</f>
        <v>4012500</v>
      </c>
      <c r="C126" s="421">
        <v>6</v>
      </c>
      <c r="D126" s="41"/>
    </row>
    <row r="127" spans="1:5">
      <c r="A127" s="421" t="s">
        <v>217</v>
      </c>
      <c r="B127" s="412" t="str">
        <f>VLOOKUP(B121,'BANG LUONG 1'!$B$4:$AJ$55,8,0)</f>
        <v>B.05</v>
      </c>
      <c r="C127" s="421">
        <v>7</v>
      </c>
      <c r="D127" s="41"/>
    </row>
    <row r="128" spans="1:5">
      <c r="A128" s="421" t="s">
        <v>230</v>
      </c>
      <c r="B128" s="412">
        <f>VLOOKUP(B121,'BANG LUONG 1'!$B$4:$AJ$55,9,0)</f>
        <v>1</v>
      </c>
      <c r="C128" s="421">
        <v>8</v>
      </c>
      <c r="D128" s="41"/>
    </row>
    <row r="129" spans="1:5">
      <c r="A129" s="421" t="s">
        <v>538</v>
      </c>
      <c r="B129" s="412">
        <f>VLOOKUP(B121,'BANG LUONG 1'!$B$4:$AJ$55,11,0)</f>
        <v>4213125</v>
      </c>
      <c r="C129" s="421">
        <v>9</v>
      </c>
      <c r="D129" s="41"/>
    </row>
    <row r="130" spans="1:5">
      <c r="A130" s="421" t="s">
        <v>354</v>
      </c>
      <c r="B130" s="412">
        <f>VLOOKUP(B121,'BANG LUONG 1'!$B$4:$AJ$55,12,0)</f>
        <v>27</v>
      </c>
      <c r="C130" s="421">
        <v>10</v>
      </c>
      <c r="D130" s="41"/>
    </row>
    <row r="131" spans="1:5">
      <c r="A131" s="421" t="s">
        <v>534</v>
      </c>
      <c r="B131" s="412">
        <f>VLOOKUP(B121,'BANG LUONG 1'!$B$4:$AJ$55,13,0)</f>
        <v>4375168.269230769</v>
      </c>
      <c r="C131" s="421">
        <v>11</v>
      </c>
      <c r="D131" s="41"/>
    </row>
    <row r="132" spans="1:5">
      <c r="A132" s="421" t="s">
        <v>592</v>
      </c>
      <c r="B132" s="412">
        <f>VLOOKUP(B121,'BANG LUONG 1'!$B$4:$AJ$55,14,0)</f>
        <v>0</v>
      </c>
      <c r="C132" s="421">
        <v>12</v>
      </c>
      <c r="D132" s="41">
        <f>B129/26*B132</f>
        <v>0</v>
      </c>
    </row>
    <row r="133" spans="1:5">
      <c r="A133" s="421" t="s">
        <v>357</v>
      </c>
      <c r="B133" s="412">
        <f>VLOOKUP(B121,'BANG LUONG 1'!$B$4:$AJ$55,15,0)</f>
        <v>0</v>
      </c>
      <c r="C133" s="421">
        <v>13</v>
      </c>
      <c r="D133" s="41">
        <f>B129/26/8*1.5*B133</f>
        <v>0</v>
      </c>
    </row>
    <row r="134" spans="1:5">
      <c r="A134" s="421" t="s">
        <v>387</v>
      </c>
      <c r="B134" s="412">
        <f>VLOOKUP(B121,'BANG LUONG 1'!$B$4:$AJ$55,16,0)</f>
        <v>0</v>
      </c>
      <c r="C134" s="421">
        <v>14</v>
      </c>
      <c r="D134" s="41">
        <f>B129/26/8*2*B134</f>
        <v>0</v>
      </c>
    </row>
    <row r="135" spans="1:5">
      <c r="A135" s="421" t="s">
        <v>593</v>
      </c>
      <c r="B135" s="412">
        <f>VLOOKUP(B121,'BANG LUONG 1'!$B$4:$AJ$55,17,0)</f>
        <v>0</v>
      </c>
      <c r="C135" s="421"/>
      <c r="D135" s="41">
        <f>(B129/26)*B135</f>
        <v>0</v>
      </c>
    </row>
    <row r="136" spans="1:5">
      <c r="A136" s="421" t="s">
        <v>388</v>
      </c>
      <c r="B136" s="412">
        <f>VLOOKUP(B121,'BANG LUONG 1'!$B$4:$AJ$55,18,0)</f>
        <v>0</v>
      </c>
      <c r="C136" s="421">
        <v>15</v>
      </c>
      <c r="D136" s="41">
        <f>(B129/26*B136)*3</f>
        <v>0</v>
      </c>
    </row>
    <row r="137" spans="1:5">
      <c r="A137" s="421" t="s">
        <v>533</v>
      </c>
      <c r="B137" s="412">
        <f>VLOOKUP(B121,'BANG LUONG 1'!$B$4:$AJ$55,19,0)</f>
        <v>4375168.269230769</v>
      </c>
      <c r="C137" s="183">
        <v>16</v>
      </c>
      <c r="D137" s="185">
        <f>B131+D133+D134+D132+D136+D135</f>
        <v>4375168.269230769</v>
      </c>
      <c r="E137" s="108"/>
    </row>
    <row r="138" spans="1:5">
      <c r="A138" s="421" t="s">
        <v>535</v>
      </c>
      <c r="B138" s="412">
        <f>VLOOKUP(B121,'BANG LUONG 1'!$B$4:$AJ$55,20,0)</f>
        <v>-4375168.269230769</v>
      </c>
      <c r="C138" s="421">
        <v>17</v>
      </c>
      <c r="D138" s="41"/>
    </row>
    <row r="139" spans="1:5">
      <c r="A139" s="421" t="s">
        <v>370</v>
      </c>
      <c r="B139" s="412">
        <f>VLOOKUP(B121,'BANG LUONG 1'!$B$4:$AJ$55,22,0)</f>
        <v>0</v>
      </c>
      <c r="C139" s="421">
        <v>18</v>
      </c>
      <c r="D139" s="41"/>
    </row>
    <row r="140" spans="1:5">
      <c r="A140" s="421" t="s">
        <v>371</v>
      </c>
      <c r="B140" s="412">
        <f>VLOOKUP(B121,'BANG LUONG 1'!$B$4:$AJ$55,23,0)</f>
        <v>300000</v>
      </c>
      <c r="C140" s="421">
        <v>19</v>
      </c>
      <c r="D140" s="41"/>
    </row>
    <row r="141" spans="1:5">
      <c r="A141" s="421" t="s">
        <v>560</v>
      </c>
      <c r="B141" s="412">
        <f>VLOOKUP(B121,'BANG LUONG 1'!$B$4:$AJ$55,24,0)</f>
        <v>0</v>
      </c>
      <c r="C141" s="421">
        <v>22</v>
      </c>
      <c r="D141" s="41"/>
    </row>
    <row r="142" spans="1:5">
      <c r="A142" s="183" t="s">
        <v>237</v>
      </c>
      <c r="B142" s="415">
        <f>VLOOKUP(B121,'BANG LUONG 1'!$B$4:$AJ$55,26,0)</f>
        <v>300000</v>
      </c>
      <c r="C142" s="421">
        <v>24</v>
      </c>
      <c r="D142" s="41"/>
    </row>
    <row r="143" spans="1:5">
      <c r="A143" s="421" t="s">
        <v>545</v>
      </c>
      <c r="B143" s="412">
        <f>VLOOKUP(B121,'BANG LUONG 1'!$B$4:$AJ$55,27,0)</f>
        <v>0</v>
      </c>
      <c r="C143" s="421">
        <v>25</v>
      </c>
      <c r="D143" s="41"/>
    </row>
    <row r="144" spans="1:5">
      <c r="A144" s="421" t="s">
        <v>544</v>
      </c>
      <c r="B144" s="412">
        <f>VLOOKUP(B121,'BANG LUONG 1'!$B$4:$AJ$55,28,0)</f>
        <v>0</v>
      </c>
      <c r="C144" s="421">
        <v>26</v>
      </c>
      <c r="D144" s="41"/>
    </row>
    <row r="145" spans="1:5">
      <c r="A145" s="421" t="s">
        <v>713</v>
      </c>
      <c r="B145" s="415">
        <f>VLOOKUP(B121,'BANG LUONG 1'!$B$4:$AJ$55,32,0)</f>
        <v>0</v>
      </c>
      <c r="C145" s="421"/>
      <c r="D145" s="41"/>
    </row>
    <row r="146" spans="1:5">
      <c r="A146" s="421" t="s">
        <v>714</v>
      </c>
      <c r="B146" s="415">
        <f>VLOOKUP(B121,'BANG LUONG 1'!$B$4:$AJ$55,33,0)</f>
        <v>0</v>
      </c>
      <c r="C146" s="421"/>
      <c r="D146" s="41"/>
    </row>
    <row r="147" spans="1:5">
      <c r="A147" s="183" t="s">
        <v>707</v>
      </c>
      <c r="B147" s="415">
        <f>VLOOKUP(B121,'BANG LUONG 1'!$B$4:$AJ$55,30,0)</f>
        <v>0</v>
      </c>
      <c r="C147" s="421"/>
      <c r="D147" s="41"/>
      <c r="E147" s="108" t="str">
        <f>B122</f>
        <v>Nguyễn Văn Chương</v>
      </c>
    </row>
    <row r="148" spans="1:5">
      <c r="A148" s="183" t="s">
        <v>546</v>
      </c>
      <c r="B148" s="415">
        <f>VLOOKUP(B121,'BANG LUONG 1'!$B$4:$AJ$55,35,0)</f>
        <v>300000</v>
      </c>
      <c r="C148" s="421"/>
      <c r="D148" s="41"/>
    </row>
    <row r="149" spans="1:5" ht="18" customHeight="1">
      <c r="A149" s="184" t="s">
        <v>549</v>
      </c>
      <c r="B149" s="424">
        <f>'BANG LUONG 1'!$P$2</f>
        <v>43702</v>
      </c>
    </row>
    <row r="150" spans="1:5">
      <c r="A150" s="183" t="s">
        <v>1</v>
      </c>
      <c r="B150" s="185" t="s">
        <v>127</v>
      </c>
      <c r="C150" s="421">
        <v>1</v>
      </c>
      <c r="D150" s="41"/>
    </row>
    <row r="151" spans="1:5">
      <c r="A151" s="183" t="s">
        <v>2</v>
      </c>
      <c r="B151" s="185" t="str">
        <f>VLOOKUP($B150,'BANG LUONG 1'!$B$5:$AB$50,C151,0)</f>
        <v>Nguyễn Bình Luận</v>
      </c>
      <c r="C151" s="421">
        <v>2</v>
      </c>
      <c r="D151" s="41"/>
    </row>
    <row r="152" spans="1:5">
      <c r="A152" s="421" t="s">
        <v>3</v>
      </c>
      <c r="B152" s="41" t="str">
        <f>VLOOKUP($B150,'BANG LUONG 1'!$B$5:$AJ$50,C152,0)</f>
        <v xml:space="preserve">Công nhân </v>
      </c>
      <c r="C152" s="421">
        <v>3</v>
      </c>
      <c r="D152" s="41"/>
    </row>
    <row r="153" spans="1:5">
      <c r="A153" s="421" t="s">
        <v>376</v>
      </c>
      <c r="B153" s="410">
        <f>VLOOKUP($B150,'BANG LUONG 1'!$B$4:$AJ$55,4,0)</f>
        <v>42731</v>
      </c>
      <c r="C153" s="421">
        <v>4</v>
      </c>
      <c r="D153" s="41"/>
    </row>
    <row r="154" spans="1:5">
      <c r="A154" s="421" t="s">
        <v>698</v>
      </c>
      <c r="B154" s="411">
        <f>VLOOKUP(B150,'BANG LUONG 1'!$B$4:$AJ$55,6,0)</f>
        <v>0</v>
      </c>
      <c r="C154" s="421">
        <v>5</v>
      </c>
      <c r="D154" s="41"/>
    </row>
    <row r="155" spans="1:5">
      <c r="A155" s="421" t="s">
        <v>229</v>
      </c>
      <c r="B155" s="412">
        <f>'thang luong moi'!$F$5</f>
        <v>4012500</v>
      </c>
      <c r="C155" s="421">
        <v>6</v>
      </c>
      <c r="D155" s="41"/>
    </row>
    <row r="156" spans="1:5">
      <c r="A156" s="421" t="s">
        <v>217</v>
      </c>
      <c r="B156" s="412" t="str">
        <f>VLOOKUP(B150,'BANG LUONG 1'!$B$4:$AJ$55,8,0)</f>
        <v>B.05</v>
      </c>
      <c r="C156" s="421">
        <v>7</v>
      </c>
      <c r="D156" s="41"/>
    </row>
    <row r="157" spans="1:5">
      <c r="A157" s="421" t="s">
        <v>230</v>
      </c>
      <c r="B157" s="412">
        <f>VLOOKUP(B150,'BANG LUONG 1'!$B$4:$AJ$55,9,0)</f>
        <v>1</v>
      </c>
      <c r="C157" s="421">
        <v>8</v>
      </c>
      <c r="D157" s="41"/>
    </row>
    <row r="158" spans="1:5">
      <c r="A158" s="421" t="s">
        <v>538</v>
      </c>
      <c r="B158" s="412">
        <f>VLOOKUP(B150,'BANG LUONG 1'!$B$4:$AJ$55,11,0)</f>
        <v>4213125</v>
      </c>
      <c r="C158" s="421">
        <v>9</v>
      </c>
      <c r="D158" s="41"/>
    </row>
    <row r="159" spans="1:5">
      <c r="A159" s="421" t="s">
        <v>354</v>
      </c>
      <c r="B159" s="412">
        <f>VLOOKUP(B150,'BANG LUONG 1'!$B$4:$AJ$55,12,0)</f>
        <v>27</v>
      </c>
      <c r="C159" s="421">
        <v>10</v>
      </c>
      <c r="D159" s="41"/>
    </row>
    <row r="160" spans="1:5">
      <c r="A160" s="421" t="s">
        <v>534</v>
      </c>
      <c r="B160" s="412">
        <f>VLOOKUP(B150,'BANG LUONG 1'!$B$4:$AJ$55,13,0)</f>
        <v>4375168.269230769</v>
      </c>
      <c r="C160" s="421">
        <v>11</v>
      </c>
      <c r="D160" s="41"/>
    </row>
    <row r="161" spans="1:5">
      <c r="A161" s="421" t="s">
        <v>592</v>
      </c>
      <c r="B161" s="412">
        <f>VLOOKUP(B150,'BANG LUONG 1'!$B$4:$AJ$55,14,0)</f>
        <v>0</v>
      </c>
      <c r="C161" s="421">
        <v>12</v>
      </c>
      <c r="D161" s="41">
        <f>B158/26*B161</f>
        <v>0</v>
      </c>
    </row>
    <row r="162" spans="1:5">
      <c r="A162" s="421" t="s">
        <v>357</v>
      </c>
      <c r="B162" s="412">
        <f>VLOOKUP(B150,'BANG LUONG 1'!$B$4:$AJ$55,15,0)</f>
        <v>0</v>
      </c>
      <c r="C162" s="421">
        <v>13</v>
      </c>
      <c r="D162" s="41">
        <f>B158/26/8*1.5*B162</f>
        <v>0</v>
      </c>
    </row>
    <row r="163" spans="1:5">
      <c r="A163" s="421" t="s">
        <v>387</v>
      </c>
      <c r="B163" s="412">
        <f>VLOOKUP(B150,'BANG LUONG 1'!$B$4:$AJ$55,16,0)</f>
        <v>0</v>
      </c>
      <c r="C163" s="421">
        <v>14</v>
      </c>
      <c r="D163" s="41">
        <f>B158/26/8*2*B163</f>
        <v>0</v>
      </c>
    </row>
    <row r="164" spans="1:5">
      <c r="A164" s="421" t="s">
        <v>593</v>
      </c>
      <c r="B164" s="412">
        <f>VLOOKUP(B150,'BANG LUONG 1'!$B$4:$AJ$55,17,0)</f>
        <v>0</v>
      </c>
      <c r="C164" s="421"/>
      <c r="D164" s="41">
        <f>(B158/26)*B164</f>
        <v>0</v>
      </c>
    </row>
    <row r="165" spans="1:5">
      <c r="A165" s="421" t="s">
        <v>388</v>
      </c>
      <c r="B165" s="412">
        <f>VLOOKUP(B150,'BANG LUONG 1'!$B$4:$AJ$55,18,0)</f>
        <v>0</v>
      </c>
      <c r="C165" s="421">
        <v>15</v>
      </c>
      <c r="D165" s="41">
        <f>(B158/26*B165)*3</f>
        <v>0</v>
      </c>
    </row>
    <row r="166" spans="1:5">
      <c r="A166" s="421" t="s">
        <v>533</v>
      </c>
      <c r="B166" s="412">
        <f>VLOOKUP(B150,'BANG LUONG 1'!$B$4:$AJ$55,19,0)</f>
        <v>4375168.269230769</v>
      </c>
      <c r="C166" s="183">
        <v>16</v>
      </c>
      <c r="D166" s="185">
        <f>B160+D162+D163+D161+D165+D164</f>
        <v>4375168.269230769</v>
      </c>
      <c r="E166" s="108"/>
    </row>
    <row r="167" spans="1:5">
      <c r="A167" s="421" t="s">
        <v>535</v>
      </c>
      <c r="B167" s="412">
        <f>VLOOKUP(B150,'BANG LUONG 1'!$B$4:$AJ$55,20,0)</f>
        <v>-4130756.7307692305</v>
      </c>
      <c r="C167" s="421">
        <v>17</v>
      </c>
      <c r="D167" s="41"/>
    </row>
    <row r="168" spans="1:5">
      <c r="A168" s="421" t="s">
        <v>370</v>
      </c>
      <c r="B168" s="412">
        <f>VLOOKUP(B150,'BANG LUONG 1'!$B$4:$AJ$55,22,0)</f>
        <v>0</v>
      </c>
      <c r="C168" s="421">
        <v>18</v>
      </c>
      <c r="D168" s="41"/>
    </row>
    <row r="169" spans="1:5">
      <c r="A169" s="421" t="s">
        <v>371</v>
      </c>
      <c r="B169" s="412">
        <f>VLOOKUP(B150,'BANG LUONG 1'!$B$4:$AJ$55,23,0)</f>
        <v>300000</v>
      </c>
      <c r="C169" s="421">
        <v>19</v>
      </c>
      <c r="D169" s="41"/>
    </row>
    <row r="170" spans="1:5">
      <c r="A170" s="421" t="s">
        <v>560</v>
      </c>
      <c r="B170" s="412">
        <f>VLOOKUP(B150,'BANG LUONG 1'!$B$4:$AJ$55,24,0)</f>
        <v>0</v>
      </c>
      <c r="C170" s="421">
        <v>22</v>
      </c>
      <c r="D170" s="41"/>
    </row>
    <row r="171" spans="1:5">
      <c r="A171" s="183" t="s">
        <v>237</v>
      </c>
      <c r="B171" s="415">
        <f>VLOOKUP(B150,'BANG LUONG 1'!$B$4:$AJ$55,26,0)</f>
        <v>544411.5384615385</v>
      </c>
      <c r="C171" s="421">
        <v>24</v>
      </c>
      <c r="D171" s="41"/>
    </row>
    <row r="172" spans="1:5">
      <c r="A172" s="421" t="s">
        <v>545</v>
      </c>
      <c r="B172" s="412">
        <f>VLOOKUP(B150,'BANG LUONG 1'!$B$4:$AJ$55,27,0)</f>
        <v>3000000</v>
      </c>
      <c r="C172" s="421">
        <v>25</v>
      </c>
      <c r="D172" s="41"/>
    </row>
    <row r="173" spans="1:5">
      <c r="A173" s="421" t="s">
        <v>544</v>
      </c>
      <c r="B173" s="412">
        <f>VLOOKUP(B150,'BANG LUONG 1'!$B$4:$AJ$55,28,0)</f>
        <v>480585</v>
      </c>
      <c r="C173" s="421">
        <v>26</v>
      </c>
      <c r="D173" s="41"/>
    </row>
    <row r="174" spans="1:5">
      <c r="A174" s="421" t="s">
        <v>713</v>
      </c>
      <c r="B174" s="415">
        <f>VLOOKUP(B150,'BANG LUONG 1'!$B$4:$AJ$55,32,0)</f>
        <v>0</v>
      </c>
      <c r="C174" s="421"/>
      <c r="D174" s="41"/>
    </row>
    <row r="175" spans="1:5">
      <c r="A175" s="421" t="s">
        <v>714</v>
      </c>
      <c r="B175" s="415">
        <f>VLOOKUP(B150,'BANG LUONG 1'!$B$4:$AJ$55,33,0)</f>
        <v>0</v>
      </c>
      <c r="C175" s="421"/>
      <c r="D175" s="41"/>
    </row>
    <row r="176" spans="1:5">
      <c r="A176" s="183" t="s">
        <v>707</v>
      </c>
      <c r="B176" s="415">
        <f>VLOOKUP(B150,'BANG LUONG 1'!$B$4:$AJ$55,30,0)</f>
        <v>0</v>
      </c>
      <c r="C176" s="421"/>
      <c r="D176" s="41"/>
      <c r="E176" s="108" t="str">
        <f>B151</f>
        <v>Nguyễn Bình Luận</v>
      </c>
    </row>
    <row r="177" spans="1:4">
      <c r="A177" s="183" t="s">
        <v>546</v>
      </c>
      <c r="B177" s="415">
        <f>VLOOKUP(B150,'BANG LUONG 1'!$B$4:$AJ$55,35,0)</f>
        <v>-2936000</v>
      </c>
      <c r="C177" s="421"/>
      <c r="D177" s="41"/>
    </row>
    <row r="178" spans="1:4">
      <c r="A178" s="184" t="s">
        <v>549</v>
      </c>
      <c r="B178" s="424">
        <f>'BANG LUONG 1'!$P$2</f>
        <v>43702</v>
      </c>
    </row>
    <row r="179" spans="1:4">
      <c r="A179" s="183" t="s">
        <v>1</v>
      </c>
      <c r="B179" s="185" t="s">
        <v>128</v>
      </c>
      <c r="C179" s="421">
        <v>1</v>
      </c>
      <c r="D179" s="41"/>
    </row>
    <row r="180" spans="1:4">
      <c r="A180" s="183" t="s">
        <v>2</v>
      </c>
      <c r="B180" s="185" t="str">
        <f>VLOOKUP($B179,'BANG LUONG 1'!$B$5:$AB$50,C180,0)</f>
        <v>Nguyễn Thế Lực</v>
      </c>
      <c r="C180" s="421">
        <v>2</v>
      </c>
      <c r="D180" s="41"/>
    </row>
    <row r="181" spans="1:4">
      <c r="A181" s="421" t="s">
        <v>3</v>
      </c>
      <c r="B181" s="41" t="str">
        <f>VLOOKUP($B179,'BANG LUONG 1'!$B$5:$AJ$50,C181,0)</f>
        <v xml:space="preserve">Công nhân </v>
      </c>
      <c r="C181" s="421">
        <v>3</v>
      </c>
      <c r="D181" s="41"/>
    </row>
    <row r="182" spans="1:4">
      <c r="A182" s="421" t="s">
        <v>376</v>
      </c>
      <c r="B182" s="410">
        <f>VLOOKUP($B179,'BANG LUONG 1'!$B$4:$AJ$55,4,0)</f>
        <v>42522</v>
      </c>
      <c r="C182" s="421">
        <v>4</v>
      </c>
      <c r="D182" s="41"/>
    </row>
    <row r="183" spans="1:4">
      <c r="A183" s="421" t="s">
        <v>698</v>
      </c>
      <c r="B183" s="411">
        <f>VLOOKUP(B179,'BANG LUONG 1'!$B$4:$AJ$55,6,0)</f>
        <v>0.03</v>
      </c>
      <c r="C183" s="421">
        <v>5</v>
      </c>
      <c r="D183" s="41"/>
    </row>
    <row r="184" spans="1:4">
      <c r="A184" s="421" t="s">
        <v>229</v>
      </c>
      <c r="B184" s="412">
        <f>'thang luong moi'!$F$5</f>
        <v>4012500</v>
      </c>
      <c r="C184" s="421">
        <v>6</v>
      </c>
      <c r="D184" s="41"/>
    </row>
    <row r="185" spans="1:4">
      <c r="A185" s="421" t="s">
        <v>217</v>
      </c>
      <c r="B185" s="412" t="str">
        <f>VLOOKUP(B179,'BANG LUONG 1'!$B$4:$AJ$55,8,0)</f>
        <v>B.05</v>
      </c>
      <c r="C185" s="421">
        <v>7</v>
      </c>
      <c r="D185" s="41"/>
    </row>
    <row r="186" spans="1:4">
      <c r="A186" s="421" t="s">
        <v>230</v>
      </c>
      <c r="B186" s="412">
        <f>VLOOKUP(B179,'BANG LUONG 1'!$B$4:$AJ$55,9,0)</f>
        <v>1</v>
      </c>
      <c r="C186" s="421">
        <v>8</v>
      </c>
      <c r="D186" s="41"/>
    </row>
    <row r="187" spans="1:4">
      <c r="A187" s="421" t="s">
        <v>538</v>
      </c>
      <c r="B187" s="412">
        <f>VLOOKUP(B179,'BANG LUONG 1'!$B$4:$AJ$55,11,0)</f>
        <v>4213125</v>
      </c>
      <c r="C187" s="421">
        <v>9</v>
      </c>
      <c r="D187" s="41"/>
    </row>
    <row r="188" spans="1:4">
      <c r="A188" s="421" t="s">
        <v>354</v>
      </c>
      <c r="B188" s="412">
        <f>VLOOKUP(B179,'BANG LUONG 1'!$B$4:$AJ$55,12,0)</f>
        <v>27</v>
      </c>
      <c r="C188" s="421">
        <v>10</v>
      </c>
      <c r="D188" s="41"/>
    </row>
    <row r="189" spans="1:4">
      <c r="A189" s="421" t="s">
        <v>534</v>
      </c>
      <c r="B189" s="412">
        <f>VLOOKUP(B179,'BANG LUONG 1'!$B$4:$AJ$55,13,0)</f>
        <v>4375168.269230769</v>
      </c>
      <c r="C189" s="421">
        <v>11</v>
      </c>
      <c r="D189" s="41"/>
    </row>
    <row r="190" spans="1:4">
      <c r="A190" s="421" t="s">
        <v>592</v>
      </c>
      <c r="B190" s="412">
        <f>VLOOKUP(B179,'BANG LUONG 1'!$B$4:$AJ$55,14,0)</f>
        <v>0</v>
      </c>
      <c r="C190" s="421">
        <v>12</v>
      </c>
      <c r="D190" s="41">
        <f>B187/26*B190</f>
        <v>0</v>
      </c>
    </row>
    <row r="191" spans="1:4">
      <c r="A191" s="421" t="s">
        <v>357</v>
      </c>
      <c r="B191" s="412">
        <f>VLOOKUP(B179,'BANG LUONG 1'!$B$4:$AJ$55,15,0)</f>
        <v>0</v>
      </c>
      <c r="C191" s="421">
        <v>13</v>
      </c>
      <c r="D191" s="41">
        <f>B187/26/8*1.5*B191</f>
        <v>0</v>
      </c>
    </row>
    <row r="192" spans="1:4">
      <c r="A192" s="421" t="s">
        <v>387</v>
      </c>
      <c r="B192" s="412">
        <f>VLOOKUP(B179,'BANG LUONG 1'!$B$4:$AJ$55,16,0)</f>
        <v>0</v>
      </c>
      <c r="C192" s="421">
        <v>14</v>
      </c>
      <c r="D192" s="41">
        <f>B187/26/8*2*B192</f>
        <v>0</v>
      </c>
    </row>
    <row r="193" spans="1:5">
      <c r="A193" s="421" t="s">
        <v>593</v>
      </c>
      <c r="B193" s="412">
        <f>VLOOKUP(B179,'BANG LUONG 1'!$B$4:$AJ$55,17,0)</f>
        <v>0</v>
      </c>
      <c r="C193" s="421"/>
      <c r="D193" s="41">
        <f>(B187/26)*B193</f>
        <v>0</v>
      </c>
    </row>
    <row r="194" spans="1:5">
      <c r="A194" s="421" t="s">
        <v>388</v>
      </c>
      <c r="B194" s="412">
        <f>VLOOKUP(B179,'BANG LUONG 1'!$B$4:$AJ$55,18,0)</f>
        <v>0</v>
      </c>
      <c r="C194" s="421">
        <v>15</v>
      </c>
      <c r="D194" s="41">
        <f>(B187/26*B194)*3</f>
        <v>0</v>
      </c>
    </row>
    <row r="195" spans="1:5">
      <c r="A195" s="421" t="s">
        <v>533</v>
      </c>
      <c r="B195" s="412">
        <f>VLOOKUP(B179,'BANG LUONG 1'!$B$4:$AJ$55,19,0)</f>
        <v>4375168.269230769</v>
      </c>
      <c r="C195" s="183">
        <v>16</v>
      </c>
      <c r="D195" s="185">
        <f>B189+D191+D192+D190+D194+D193</f>
        <v>4375168.269230769</v>
      </c>
      <c r="E195" s="108"/>
    </row>
    <row r="196" spans="1:5">
      <c r="A196" s="421" t="s">
        <v>535</v>
      </c>
      <c r="B196" s="412">
        <f>VLOOKUP(B179,'BANG LUONG 1'!$B$4:$AJ$55,20,0)</f>
        <v>-4117214.423076923</v>
      </c>
      <c r="C196" s="421">
        <v>17</v>
      </c>
      <c r="D196" s="41"/>
    </row>
    <row r="197" spans="1:5">
      <c r="A197" s="421" t="s">
        <v>370</v>
      </c>
      <c r="B197" s="412">
        <f>VLOOKUP(B179,'BANG LUONG 1'!$B$4:$AJ$55,22,0)</f>
        <v>126393.75</v>
      </c>
      <c r="C197" s="421">
        <v>18</v>
      </c>
      <c r="D197" s="41"/>
    </row>
    <row r="198" spans="1:5">
      <c r="A198" s="421" t="s">
        <v>371</v>
      </c>
      <c r="B198" s="412">
        <f>VLOOKUP(B179,'BANG LUONG 1'!$B$4:$AJ$55,23,0)</f>
        <v>300000</v>
      </c>
      <c r="C198" s="421">
        <v>19</v>
      </c>
      <c r="D198" s="41"/>
    </row>
    <row r="199" spans="1:5">
      <c r="A199" s="421" t="s">
        <v>560</v>
      </c>
      <c r="B199" s="412">
        <f>VLOOKUP(B179,'BANG LUONG 1'!$B$4:$AJ$55,24,0)</f>
        <v>0</v>
      </c>
      <c r="C199" s="421">
        <v>22</v>
      </c>
      <c r="D199" s="41"/>
    </row>
    <row r="200" spans="1:5">
      <c r="A200" s="183" t="s">
        <v>237</v>
      </c>
      <c r="B200" s="415">
        <f>VLOOKUP(B179,'BANG LUONG 1'!$B$4:$AJ$55,26,0)</f>
        <v>684347.59615384601</v>
      </c>
      <c r="C200" s="421">
        <v>24</v>
      </c>
      <c r="D200" s="41"/>
    </row>
    <row r="201" spans="1:5">
      <c r="A201" s="421" t="s">
        <v>545</v>
      </c>
      <c r="B201" s="412">
        <f>VLOOKUP(B179,'BANG LUONG 1'!$B$4:$AJ$55,27,0)</f>
        <v>4000000</v>
      </c>
      <c r="C201" s="421">
        <v>25</v>
      </c>
      <c r="D201" s="41"/>
    </row>
    <row r="202" spans="1:5">
      <c r="A202" s="421" t="s">
        <v>544</v>
      </c>
      <c r="B202" s="412">
        <f>VLOOKUP(B179,'BANG LUONG 1'!$B$4:$AJ$55,28,0)</f>
        <v>480585</v>
      </c>
      <c r="C202" s="421">
        <v>26</v>
      </c>
      <c r="D202" s="41"/>
    </row>
    <row r="203" spans="1:5">
      <c r="A203" s="421" t="s">
        <v>713</v>
      </c>
      <c r="B203" s="415">
        <f>VLOOKUP(B179,'BANG LUONG 1'!$B$4:$AJ$55,32,0)</f>
        <v>0</v>
      </c>
      <c r="C203" s="421"/>
      <c r="D203" s="41"/>
    </row>
    <row r="204" spans="1:5">
      <c r="A204" s="421" t="s">
        <v>714</v>
      </c>
      <c r="B204" s="415">
        <f>VLOOKUP(B179,'BANG LUONG 1'!$B$4:$AJ$55,33,0)</f>
        <v>0</v>
      </c>
      <c r="C204" s="421"/>
      <c r="D204" s="41"/>
    </row>
    <row r="205" spans="1:5">
      <c r="A205" s="183" t="s">
        <v>707</v>
      </c>
      <c r="B205" s="415">
        <f>VLOOKUP(B179,'BANG LUONG 1'!$B$4:$AJ$55,30,0)</f>
        <v>0</v>
      </c>
      <c r="C205" s="421"/>
      <c r="D205" s="41"/>
      <c r="E205" s="108" t="str">
        <f>B180</f>
        <v>Nguyễn Thế Lực</v>
      </c>
    </row>
    <row r="206" spans="1:5">
      <c r="A206" s="183" t="s">
        <v>546</v>
      </c>
      <c r="B206" s="415">
        <f>VLOOKUP(B179,'BANG LUONG 1'!$B$4:$AJ$55,35,0)</f>
        <v>-3796000</v>
      </c>
      <c r="C206" s="421"/>
      <c r="D206" s="41"/>
    </row>
    <row r="207" spans="1:5">
      <c r="A207" s="184" t="s">
        <v>549</v>
      </c>
      <c r="B207" s="424">
        <f>'BANG LUONG 1'!$P$2</f>
        <v>43702</v>
      </c>
    </row>
    <row r="208" spans="1:5">
      <c r="A208" s="183" t="s">
        <v>1</v>
      </c>
      <c r="B208" s="185" t="s">
        <v>129</v>
      </c>
      <c r="C208" s="421">
        <v>1</v>
      </c>
      <c r="D208" s="41"/>
    </row>
    <row r="209" spans="1:5">
      <c r="A209" s="183" t="s">
        <v>2</v>
      </c>
      <c r="B209" s="185" t="str">
        <f>VLOOKUP($B208,'BANG LUONG 1'!$B$5:$AB$50,C209,0)</f>
        <v>Nguyễn Thành Vân</v>
      </c>
      <c r="C209" s="421">
        <v>2</v>
      </c>
      <c r="D209" s="41"/>
    </row>
    <row r="210" spans="1:5">
      <c r="A210" s="421" t="s">
        <v>3</v>
      </c>
      <c r="B210" s="41" t="str">
        <f>VLOOKUP($B208,'BANG LUONG 1'!$B$5:$AJ$50,C210,0)</f>
        <v xml:space="preserve">Công nhân </v>
      </c>
      <c r="C210" s="421">
        <v>3</v>
      </c>
      <c r="D210" s="41"/>
    </row>
    <row r="211" spans="1:5">
      <c r="A211" s="421" t="s">
        <v>376</v>
      </c>
      <c r="B211" s="410">
        <f>VLOOKUP($B208,'BANG LUONG 1'!$B$4:$AJ$55,4,0)</f>
        <v>42415</v>
      </c>
      <c r="C211" s="421">
        <v>4</v>
      </c>
      <c r="D211" s="41"/>
    </row>
    <row r="212" spans="1:5">
      <c r="A212" s="421" t="s">
        <v>698</v>
      </c>
      <c r="B212" s="411">
        <f>VLOOKUP(B208,'BANG LUONG 1'!$B$4:$AJ$55,6,0)</f>
        <v>0.03</v>
      </c>
      <c r="C212" s="421">
        <v>5</v>
      </c>
      <c r="D212" s="41"/>
    </row>
    <row r="213" spans="1:5">
      <c r="A213" s="421" t="s">
        <v>229</v>
      </c>
      <c r="B213" s="412">
        <f>'thang luong moi'!$F$5</f>
        <v>4012500</v>
      </c>
      <c r="C213" s="421">
        <v>6</v>
      </c>
      <c r="D213" s="41"/>
    </row>
    <row r="214" spans="1:5">
      <c r="A214" s="421" t="s">
        <v>217</v>
      </c>
      <c r="B214" s="412" t="str">
        <f>VLOOKUP(B208,'BANG LUONG 1'!$B$4:$AJ$55,8,0)</f>
        <v>B.05</v>
      </c>
      <c r="C214" s="421">
        <v>7</v>
      </c>
      <c r="D214" s="41"/>
    </row>
    <row r="215" spans="1:5">
      <c r="A215" s="421" t="s">
        <v>230</v>
      </c>
      <c r="B215" s="412">
        <f>VLOOKUP(B208,'BANG LUONG 1'!$B$4:$AJ$55,9,0)</f>
        <v>1</v>
      </c>
      <c r="C215" s="421">
        <v>8</v>
      </c>
      <c r="D215" s="41"/>
    </row>
    <row r="216" spans="1:5">
      <c r="A216" s="421" t="s">
        <v>538</v>
      </c>
      <c r="B216" s="412">
        <f>VLOOKUP(B208,'BANG LUONG 1'!$B$4:$AJ$55,11,0)</f>
        <v>4213125</v>
      </c>
      <c r="C216" s="421">
        <v>9</v>
      </c>
      <c r="D216" s="41"/>
    </row>
    <row r="217" spans="1:5">
      <c r="A217" s="421" t="s">
        <v>354</v>
      </c>
      <c r="B217" s="412">
        <f>VLOOKUP(B208,'BANG LUONG 1'!$B$4:$AJ$55,12,0)</f>
        <v>27</v>
      </c>
      <c r="C217" s="421">
        <v>10</v>
      </c>
      <c r="D217" s="41"/>
    </row>
    <row r="218" spans="1:5">
      <c r="A218" s="421" t="s">
        <v>534</v>
      </c>
      <c r="B218" s="412">
        <f>VLOOKUP(B208,'BANG LUONG 1'!$B$4:$AJ$55,13,0)</f>
        <v>4375168.269230769</v>
      </c>
      <c r="C218" s="421">
        <v>11</v>
      </c>
      <c r="D218" s="41"/>
    </row>
    <row r="219" spans="1:5">
      <c r="A219" s="421" t="s">
        <v>592</v>
      </c>
      <c r="B219" s="412">
        <f>VLOOKUP(B208,'BANG LUONG 1'!$B$4:$AJ$55,14,0)</f>
        <v>0</v>
      </c>
      <c r="C219" s="421">
        <v>12</v>
      </c>
      <c r="D219" s="41">
        <f>B216/26*B219</f>
        <v>0</v>
      </c>
    </row>
    <row r="220" spans="1:5">
      <c r="A220" s="421" t="s">
        <v>357</v>
      </c>
      <c r="B220" s="412">
        <f>VLOOKUP(B208,'BANG LUONG 1'!$B$4:$AJ$55,15,0)</f>
        <v>0</v>
      </c>
      <c r="C220" s="421">
        <v>13</v>
      </c>
      <c r="D220" s="41">
        <f>B216/26/8*1.5*B220</f>
        <v>0</v>
      </c>
    </row>
    <row r="221" spans="1:5">
      <c r="A221" s="421" t="s">
        <v>387</v>
      </c>
      <c r="B221" s="412">
        <f>VLOOKUP(B208,'BANG LUONG 1'!$B$4:$AJ$55,16,0)</f>
        <v>0</v>
      </c>
      <c r="C221" s="421">
        <v>14</v>
      </c>
      <c r="D221" s="41">
        <f>B216/26/8*2*B221</f>
        <v>0</v>
      </c>
    </row>
    <row r="222" spans="1:5">
      <c r="A222" s="421" t="s">
        <v>593</v>
      </c>
      <c r="B222" s="412">
        <f>VLOOKUP(B208,'BANG LUONG 1'!$B$4:$AJ$55,17,0)</f>
        <v>0</v>
      </c>
      <c r="C222" s="421"/>
      <c r="D222" s="41">
        <f>(B216/26)*B222</f>
        <v>0</v>
      </c>
    </row>
    <row r="223" spans="1:5">
      <c r="A223" s="421" t="s">
        <v>388</v>
      </c>
      <c r="B223" s="412">
        <f>VLOOKUP(B208,'BANG LUONG 1'!$B$4:$AJ$55,18,0)</f>
        <v>0</v>
      </c>
      <c r="C223" s="421">
        <v>15</v>
      </c>
      <c r="D223" s="41">
        <f>(B216/26*B223)*3</f>
        <v>0</v>
      </c>
    </row>
    <row r="224" spans="1:5">
      <c r="A224" s="421" t="s">
        <v>533</v>
      </c>
      <c r="B224" s="412">
        <f>VLOOKUP(B208,'BANG LUONG 1'!$B$4:$AJ$55,19,0)</f>
        <v>4375168.269230769</v>
      </c>
      <c r="C224" s="183">
        <v>16</v>
      </c>
      <c r="D224" s="185">
        <f>B218+D220+D221+D219+D223+D222</f>
        <v>4375168.269230769</v>
      </c>
      <c r="E224" s="108"/>
    </row>
    <row r="225" spans="1:5">
      <c r="A225" s="421" t="s">
        <v>535</v>
      </c>
      <c r="B225" s="412">
        <f>VLOOKUP(B208,'BANG LUONG 1'!$B$4:$AJ$55,20,0)</f>
        <v>-4130756.7307692305</v>
      </c>
      <c r="C225" s="421">
        <v>17</v>
      </c>
      <c r="D225" s="41"/>
    </row>
    <row r="226" spans="1:5">
      <c r="A226" s="421" t="s">
        <v>370</v>
      </c>
      <c r="B226" s="412">
        <f>VLOOKUP(B208,'BANG LUONG 1'!$B$4:$AJ$55,22,0)</f>
        <v>126393.75</v>
      </c>
      <c r="C226" s="421">
        <v>18</v>
      </c>
      <c r="D226" s="41"/>
    </row>
    <row r="227" spans="1:5">
      <c r="A227" s="421" t="s">
        <v>371</v>
      </c>
      <c r="B227" s="412">
        <f>VLOOKUP(B208,'BANG LUONG 1'!$B$4:$AJ$55,23,0)</f>
        <v>300000</v>
      </c>
      <c r="C227" s="421">
        <v>19</v>
      </c>
      <c r="D227" s="41"/>
    </row>
    <row r="228" spans="1:5">
      <c r="A228" s="421" t="s">
        <v>560</v>
      </c>
      <c r="B228" s="412">
        <f>VLOOKUP(B208,'BANG LUONG 1'!$B$4:$AJ$55,24,0)</f>
        <v>0</v>
      </c>
      <c r="C228" s="421">
        <v>22</v>
      </c>
      <c r="D228" s="41"/>
    </row>
    <row r="229" spans="1:5">
      <c r="A229" s="183" t="s">
        <v>237</v>
      </c>
      <c r="B229" s="415">
        <f>VLOOKUP(B208,'BANG LUONG 1'!$B$4:$AJ$55,26,0)</f>
        <v>670805.2884615385</v>
      </c>
      <c r="C229" s="421">
        <v>24</v>
      </c>
      <c r="D229" s="41"/>
    </row>
    <row r="230" spans="1:5">
      <c r="A230" s="421" t="s">
        <v>545</v>
      </c>
      <c r="B230" s="412">
        <f>VLOOKUP(B208,'BANG LUONG 1'!$B$4:$AJ$55,27,0)</f>
        <v>0</v>
      </c>
      <c r="C230" s="421">
        <v>25</v>
      </c>
      <c r="D230" s="41"/>
    </row>
    <row r="231" spans="1:5">
      <c r="A231" s="421" t="s">
        <v>544</v>
      </c>
      <c r="B231" s="412">
        <f>VLOOKUP(B208,'BANG LUONG 1'!$B$4:$AJ$55,28,0)</f>
        <v>480585</v>
      </c>
      <c r="C231" s="421">
        <v>26</v>
      </c>
      <c r="D231" s="41"/>
    </row>
    <row r="232" spans="1:5">
      <c r="A232" s="421" t="s">
        <v>713</v>
      </c>
      <c r="B232" s="415">
        <f>VLOOKUP(B208,'BANG LUONG 1'!$B$4:$AJ$55,32,0)</f>
        <v>0</v>
      </c>
      <c r="C232" s="421"/>
      <c r="D232" s="41"/>
    </row>
    <row r="233" spans="1:5">
      <c r="A233" s="421" t="s">
        <v>714</v>
      </c>
      <c r="B233" s="415">
        <f>VLOOKUP(B208,'BANG LUONG 1'!$B$4:$AJ$55,33,0)</f>
        <v>0</v>
      </c>
      <c r="C233" s="421"/>
      <c r="D233" s="41"/>
    </row>
    <row r="234" spans="1:5">
      <c r="A234" s="183" t="s">
        <v>707</v>
      </c>
      <c r="B234" s="415">
        <f>VLOOKUP(B208,'BANG LUONG 1'!$B$4:$AJ$55,30,0)</f>
        <v>0</v>
      </c>
      <c r="C234" s="421"/>
      <c r="D234" s="41"/>
      <c r="E234" s="108" t="str">
        <f>B209</f>
        <v>Nguyễn Thành Vân</v>
      </c>
    </row>
    <row r="235" spans="1:5">
      <c r="A235" s="183" t="s">
        <v>546</v>
      </c>
      <c r="B235" s="415">
        <f>VLOOKUP(B208,'BANG LUONG 1'!$B$4:$AJ$55,35,0)</f>
        <v>190000</v>
      </c>
      <c r="C235" s="421"/>
      <c r="D235" s="41"/>
    </row>
    <row r="236" spans="1:5">
      <c r="A236" s="184" t="s">
        <v>549</v>
      </c>
      <c r="B236" s="424">
        <f>'BANG LUONG 1'!$P$2</f>
        <v>43702</v>
      </c>
    </row>
    <row r="237" spans="1:5">
      <c r="A237" s="183" t="s">
        <v>1</v>
      </c>
      <c r="B237" s="185" t="s">
        <v>130</v>
      </c>
      <c r="C237" s="421">
        <v>1</v>
      </c>
      <c r="D237" s="41"/>
    </row>
    <row r="238" spans="1:5">
      <c r="A238" s="183" t="s">
        <v>2</v>
      </c>
      <c r="B238" s="185" t="str">
        <f>VLOOKUP($B237,'BANG LUONG 1'!$B$5:$AB$50,C238,0)</f>
        <v>Triệu Minh Tú</v>
      </c>
      <c r="C238" s="421">
        <v>2</v>
      </c>
      <c r="D238" s="41"/>
    </row>
    <row r="239" spans="1:5">
      <c r="A239" s="421" t="s">
        <v>3</v>
      </c>
      <c r="B239" s="41" t="str">
        <f>VLOOKUP($B237,'BANG LUONG 1'!$B$5:$AJ$50,C239,0)</f>
        <v>Lái xe cơ giới</v>
      </c>
      <c r="C239" s="421">
        <v>3</v>
      </c>
      <c r="D239" s="41"/>
    </row>
    <row r="240" spans="1:5">
      <c r="A240" s="421" t="s">
        <v>376</v>
      </c>
      <c r="B240" s="410">
        <f>VLOOKUP($B237,'BANG LUONG 1'!$B$4:$AJ$55,4,0)</f>
        <v>37622</v>
      </c>
      <c r="C240" s="421">
        <v>4</v>
      </c>
      <c r="D240" s="41"/>
    </row>
    <row r="241" spans="1:5">
      <c r="A241" s="421" t="s">
        <v>698</v>
      </c>
      <c r="B241" s="411">
        <f>VLOOKUP(B237,'BANG LUONG 1'!$B$4:$AJ$55,6,0)</f>
        <v>0.16</v>
      </c>
      <c r="C241" s="421">
        <v>5</v>
      </c>
      <c r="D241" s="41"/>
    </row>
    <row r="242" spans="1:5">
      <c r="A242" s="421" t="s">
        <v>229</v>
      </c>
      <c r="B242" s="412">
        <f>'thang luong moi'!$F$5</f>
        <v>4012500</v>
      </c>
      <c r="C242" s="421">
        <v>6</v>
      </c>
      <c r="D242" s="41"/>
    </row>
    <row r="243" spans="1:5">
      <c r="A243" s="421" t="s">
        <v>217</v>
      </c>
      <c r="B243" s="412" t="str">
        <f>VLOOKUP(B237,'BANG LUONG 1'!$B$4:$AJ$55,8,0)</f>
        <v>B.02</v>
      </c>
      <c r="C243" s="421">
        <v>7</v>
      </c>
      <c r="D243" s="41"/>
    </row>
    <row r="244" spans="1:5">
      <c r="A244" s="421" t="s">
        <v>230</v>
      </c>
      <c r="B244" s="412">
        <f>VLOOKUP(B237,'BANG LUONG 1'!$B$4:$AJ$55,9,0)</f>
        <v>2</v>
      </c>
      <c r="C244" s="421">
        <v>8</v>
      </c>
      <c r="D244" s="41"/>
    </row>
    <row r="245" spans="1:5">
      <c r="A245" s="421" t="s">
        <v>538</v>
      </c>
      <c r="B245" s="412">
        <f>VLOOKUP(B237,'BANG LUONG 1'!$B$4:$AJ$55,11,0)</f>
        <v>4694625.0000000009</v>
      </c>
      <c r="C245" s="421">
        <v>9</v>
      </c>
      <c r="D245" s="41"/>
    </row>
    <row r="246" spans="1:5">
      <c r="A246" s="421" t="s">
        <v>354</v>
      </c>
      <c r="B246" s="412">
        <f>VLOOKUP(B237,'BANG LUONG 1'!$B$4:$AJ$55,12,0)</f>
        <v>27</v>
      </c>
      <c r="C246" s="421">
        <v>10</v>
      </c>
      <c r="D246" s="41"/>
    </row>
    <row r="247" spans="1:5">
      <c r="A247" s="421" t="s">
        <v>534</v>
      </c>
      <c r="B247" s="412">
        <f>VLOOKUP(B237,'BANG LUONG 1'!$B$4:$AJ$55,13,0)</f>
        <v>4875187.5000000009</v>
      </c>
      <c r="C247" s="421">
        <v>11</v>
      </c>
      <c r="D247" s="41"/>
    </row>
    <row r="248" spans="1:5">
      <c r="A248" s="421" t="s">
        <v>592</v>
      </c>
      <c r="B248" s="412">
        <f>VLOOKUP(B237,'BANG LUONG 1'!$B$4:$AJ$55,14,0)</f>
        <v>0</v>
      </c>
      <c r="C248" s="421">
        <v>12</v>
      </c>
      <c r="D248" s="41">
        <f>B245/26*B248</f>
        <v>0</v>
      </c>
    </row>
    <row r="249" spans="1:5">
      <c r="A249" s="421" t="s">
        <v>357</v>
      </c>
      <c r="B249" s="412">
        <f>VLOOKUP(B237,'BANG LUONG 1'!$B$4:$AJ$55,15,0)</f>
        <v>0</v>
      </c>
      <c r="C249" s="421">
        <v>13</v>
      </c>
      <c r="D249" s="41">
        <f>B245/26/8*1.5*B249</f>
        <v>0</v>
      </c>
    </row>
    <row r="250" spans="1:5">
      <c r="A250" s="421" t="s">
        <v>387</v>
      </c>
      <c r="B250" s="412">
        <f>VLOOKUP(B237,'BANG LUONG 1'!$B$4:$AJ$55,16,0)</f>
        <v>0</v>
      </c>
      <c r="C250" s="421">
        <v>14</v>
      </c>
      <c r="D250" s="41">
        <f>B245/26/8*2*B250</f>
        <v>0</v>
      </c>
    </row>
    <row r="251" spans="1:5">
      <c r="A251" s="421" t="s">
        <v>593</v>
      </c>
      <c r="B251" s="412">
        <f>VLOOKUP(B237,'BANG LUONG 1'!$B$4:$AJ$55,17,0)</f>
        <v>0</v>
      </c>
      <c r="C251" s="421"/>
      <c r="D251" s="41">
        <f>(B245/26)*B251</f>
        <v>0</v>
      </c>
    </row>
    <row r="252" spans="1:5">
      <c r="A252" s="421" t="s">
        <v>388</v>
      </c>
      <c r="B252" s="412">
        <f>VLOOKUP(B237,'BANG LUONG 1'!$B$4:$AJ$55,18,0)</f>
        <v>0</v>
      </c>
      <c r="C252" s="421">
        <v>15</v>
      </c>
      <c r="D252" s="41">
        <f>(B245/26*B252)*3</f>
        <v>0</v>
      </c>
    </row>
    <row r="253" spans="1:5">
      <c r="A253" s="421" t="s">
        <v>533</v>
      </c>
      <c r="B253" s="412">
        <f>VLOOKUP(B237,'BANG LUONG 1'!$B$4:$AJ$55,19,0)</f>
        <v>4875187.5000000009</v>
      </c>
      <c r="C253" s="183">
        <v>16</v>
      </c>
      <c r="D253" s="185">
        <f>B247+D249+D250+D248+D252+D251</f>
        <v>4875187.5000000009</v>
      </c>
      <c r="E253" s="108"/>
    </row>
    <row r="254" spans="1:5">
      <c r="A254" s="421" t="s">
        <v>535</v>
      </c>
      <c r="B254" s="412">
        <f>VLOOKUP(B237,'BANG LUONG 1'!$B$4:$AJ$55,20,0)</f>
        <v>-4875187.5000000009</v>
      </c>
      <c r="C254" s="421">
        <v>17</v>
      </c>
      <c r="D254" s="41"/>
    </row>
    <row r="255" spans="1:5">
      <c r="A255" s="421" t="s">
        <v>370</v>
      </c>
      <c r="B255" s="412">
        <f>VLOOKUP(B237,'BANG LUONG 1'!$B$4:$AJ$55,22,0)</f>
        <v>751140.00000000012</v>
      </c>
      <c r="C255" s="421">
        <v>18</v>
      </c>
      <c r="D255" s="41"/>
    </row>
    <row r="256" spans="1:5">
      <c r="A256" s="421" t="s">
        <v>371</v>
      </c>
      <c r="B256" s="412">
        <f>VLOOKUP(B237,'BANG LUONG 1'!$B$4:$AJ$55,23,0)</f>
        <v>300000</v>
      </c>
      <c r="C256" s="421">
        <v>19</v>
      </c>
      <c r="D256" s="41"/>
    </row>
    <row r="257" spans="1:5">
      <c r="A257" s="421" t="s">
        <v>560</v>
      </c>
      <c r="B257" s="412">
        <f>VLOOKUP(B237,'BANG LUONG 1'!$B$4:$AJ$55,24,0)</f>
        <v>0</v>
      </c>
      <c r="C257" s="421">
        <v>22</v>
      </c>
      <c r="D257" s="41"/>
    </row>
    <row r="258" spans="1:5">
      <c r="A258" s="183" t="s">
        <v>237</v>
      </c>
      <c r="B258" s="415">
        <f>VLOOKUP(B237,'BANG LUONG 1'!$B$4:$AJ$55,26,0)</f>
        <v>1051140</v>
      </c>
      <c r="C258" s="421">
        <v>24</v>
      </c>
      <c r="D258" s="41"/>
    </row>
    <row r="259" spans="1:5">
      <c r="A259" s="421" t="s">
        <v>545</v>
      </c>
      <c r="B259" s="412">
        <f>VLOOKUP(B237,'BANG LUONG 1'!$B$4:$AJ$55,27,0)</f>
        <v>4000000</v>
      </c>
      <c r="C259" s="421">
        <v>25</v>
      </c>
      <c r="D259" s="41"/>
    </row>
    <row r="260" spans="1:5">
      <c r="A260" s="421" t="s">
        <v>544</v>
      </c>
      <c r="B260" s="412">
        <f>VLOOKUP(B237,'BANG LUONG 1'!$B$4:$AJ$55,28,0)</f>
        <v>480585</v>
      </c>
      <c r="C260" s="421">
        <v>26</v>
      </c>
      <c r="D260" s="41"/>
    </row>
    <row r="261" spans="1:5">
      <c r="A261" s="421" t="s">
        <v>713</v>
      </c>
      <c r="B261" s="415">
        <f>VLOOKUP(B237,'BANG LUONG 1'!$B$4:$AJ$55,32,0)</f>
        <v>0</v>
      </c>
      <c r="C261" s="421"/>
      <c r="D261" s="41"/>
    </row>
    <row r="262" spans="1:5">
      <c r="A262" s="421" t="s">
        <v>714</v>
      </c>
      <c r="B262" s="415">
        <f>VLOOKUP(B237,'BANG LUONG 1'!$B$4:$AJ$55,33,0)</f>
        <v>0</v>
      </c>
      <c r="C262" s="421"/>
      <c r="D262" s="41"/>
    </row>
    <row r="263" spans="1:5">
      <c r="A263" s="183" t="s">
        <v>707</v>
      </c>
      <c r="B263" s="415">
        <f>VLOOKUP(B237,'BANG LUONG 1'!$B$4:$AJ$55,30,0)</f>
        <v>0</v>
      </c>
      <c r="C263" s="421"/>
      <c r="D263" s="41"/>
      <c r="E263" s="108" t="str">
        <f>B238</f>
        <v>Triệu Minh Tú</v>
      </c>
    </row>
    <row r="264" spans="1:5">
      <c r="A264" s="183" t="s">
        <v>546</v>
      </c>
      <c r="B264" s="415">
        <f>VLOOKUP(B237,'BANG LUONG 1'!$B$4:$AJ$55,35,0)</f>
        <v>-3429000</v>
      </c>
      <c r="C264" s="421"/>
      <c r="D264" s="41"/>
    </row>
    <row r="265" spans="1:5">
      <c r="A265" s="184" t="s">
        <v>549</v>
      </c>
      <c r="B265" s="424">
        <f>'BANG LUONG 1'!$P$2</f>
        <v>43702</v>
      </c>
    </row>
    <row r="266" spans="1:5">
      <c r="A266" s="183" t="s">
        <v>1</v>
      </c>
      <c r="B266" s="185" t="s">
        <v>131</v>
      </c>
      <c r="C266" s="421">
        <v>1</v>
      </c>
      <c r="D266" s="41"/>
    </row>
    <row r="267" spans="1:5">
      <c r="A267" s="183" t="s">
        <v>2</v>
      </c>
      <c r="B267" s="185" t="str">
        <f>VLOOKUP($B266,'BANG LUONG 1'!$B$5:$AB$50,C267,0)</f>
        <v>Nguyễn Văn Chạy</v>
      </c>
      <c r="C267" s="421">
        <v>2</v>
      </c>
      <c r="D267" s="41"/>
    </row>
    <row r="268" spans="1:5">
      <c r="A268" s="421" t="s">
        <v>3</v>
      </c>
      <c r="B268" s="41" t="str">
        <f>VLOOKUP($B266,'BANG LUONG 1'!$B$5:$AJ$50,C268,0)</f>
        <v>Lái xe cơ giới</v>
      </c>
      <c r="C268" s="421">
        <v>3</v>
      </c>
      <c r="D268" s="41"/>
    </row>
    <row r="269" spans="1:5">
      <c r="A269" s="421" t="s">
        <v>376</v>
      </c>
      <c r="B269" s="410">
        <f>VLOOKUP($B266,'BANG LUONG 1'!$B$4:$AJ$55,4,0)</f>
        <v>41786</v>
      </c>
      <c r="C269" s="421">
        <v>4</v>
      </c>
      <c r="D269" s="41"/>
    </row>
    <row r="270" spans="1:5">
      <c r="A270" s="421" t="s">
        <v>698</v>
      </c>
      <c r="B270" s="411">
        <f>VLOOKUP(B266,'BANG LUONG 1'!$B$4:$AJ$55,6,0)</f>
        <v>0.05</v>
      </c>
      <c r="C270" s="421">
        <v>5</v>
      </c>
      <c r="D270" s="41"/>
    </row>
    <row r="271" spans="1:5">
      <c r="A271" s="421" t="s">
        <v>229</v>
      </c>
      <c r="B271" s="412">
        <f>'thang luong moi'!$F$5</f>
        <v>4012500</v>
      </c>
      <c r="C271" s="421">
        <v>6</v>
      </c>
      <c r="D271" s="41"/>
    </row>
    <row r="272" spans="1:5">
      <c r="A272" s="421" t="s">
        <v>217</v>
      </c>
      <c r="B272" s="412" t="str">
        <f>VLOOKUP(B266,'BANG LUONG 1'!$B$4:$AJ$55,8,0)</f>
        <v>B.02</v>
      </c>
      <c r="C272" s="421">
        <v>7</v>
      </c>
      <c r="D272" s="41"/>
    </row>
    <row r="273" spans="1:5">
      <c r="A273" s="421" t="s">
        <v>230</v>
      </c>
      <c r="B273" s="412">
        <f>VLOOKUP(B266,'BANG LUONG 1'!$B$4:$AJ$55,9,0)</f>
        <v>1</v>
      </c>
      <c r="C273" s="421">
        <v>8</v>
      </c>
      <c r="D273" s="41"/>
    </row>
    <row r="274" spans="1:5">
      <c r="A274" s="421" t="s">
        <v>538</v>
      </c>
      <c r="B274" s="412">
        <f>VLOOKUP(B266,'BANG LUONG 1'!$B$4:$AJ$55,11,0)</f>
        <v>4413750</v>
      </c>
      <c r="C274" s="421">
        <v>9</v>
      </c>
      <c r="D274" s="41"/>
    </row>
    <row r="275" spans="1:5">
      <c r="A275" s="421" t="s">
        <v>354</v>
      </c>
      <c r="B275" s="412">
        <f>VLOOKUP(B266,'BANG LUONG 1'!$B$4:$AJ$55,12,0)</f>
        <v>27</v>
      </c>
      <c r="C275" s="421">
        <v>10</v>
      </c>
      <c r="D275" s="41"/>
    </row>
    <row r="276" spans="1:5">
      <c r="A276" s="421" t="s">
        <v>534</v>
      </c>
      <c r="B276" s="412">
        <f>VLOOKUP(B266,'BANG LUONG 1'!$B$4:$AJ$55,13,0)</f>
        <v>4583509.615384615</v>
      </c>
      <c r="C276" s="421">
        <v>11</v>
      </c>
      <c r="D276" s="41"/>
    </row>
    <row r="277" spans="1:5">
      <c r="A277" s="421" t="s">
        <v>592</v>
      </c>
      <c r="B277" s="412">
        <f>VLOOKUP(B266,'BANG LUONG 1'!$B$4:$AJ$55,14,0)</f>
        <v>0</v>
      </c>
      <c r="C277" s="421">
        <v>12</v>
      </c>
      <c r="D277" s="41">
        <f>B274/26*B277</f>
        <v>0</v>
      </c>
    </row>
    <row r="278" spans="1:5">
      <c r="A278" s="421" t="s">
        <v>357</v>
      </c>
      <c r="B278" s="412">
        <f>VLOOKUP(B266,'BANG LUONG 1'!$B$4:$AJ$55,15,0)</f>
        <v>0</v>
      </c>
      <c r="C278" s="421">
        <v>13</v>
      </c>
      <c r="D278" s="41">
        <f>B274/26/8*1.5*B278</f>
        <v>0</v>
      </c>
    </row>
    <row r="279" spans="1:5">
      <c r="A279" s="421" t="s">
        <v>387</v>
      </c>
      <c r="B279" s="412">
        <f>VLOOKUP(B266,'BANG LUONG 1'!$B$4:$AJ$55,16,0)</f>
        <v>0</v>
      </c>
      <c r="C279" s="421">
        <v>14</v>
      </c>
      <c r="D279" s="41">
        <f>B274/26/8*2*B279</f>
        <v>0</v>
      </c>
    </row>
    <row r="280" spans="1:5">
      <c r="A280" s="421" t="s">
        <v>593</v>
      </c>
      <c r="B280" s="412">
        <f>VLOOKUP(B266,'BANG LUONG 1'!$B$4:$AJ$55,17,0)</f>
        <v>0</v>
      </c>
      <c r="C280" s="421"/>
      <c r="D280" s="41">
        <f>(B274/26)*B280</f>
        <v>0</v>
      </c>
    </row>
    <row r="281" spans="1:5">
      <c r="A281" s="421" t="s">
        <v>388</v>
      </c>
      <c r="B281" s="412">
        <f>VLOOKUP(B266,'BANG LUONG 1'!$B$4:$AJ$55,18,0)</f>
        <v>0</v>
      </c>
      <c r="C281" s="421">
        <v>15</v>
      </c>
      <c r="D281" s="41">
        <f>(B274/26*B281)*3</f>
        <v>0</v>
      </c>
    </row>
    <row r="282" spans="1:5">
      <c r="A282" s="421" t="s">
        <v>533</v>
      </c>
      <c r="B282" s="412">
        <f>VLOOKUP(B266,'BANG LUONG 1'!$B$4:$AJ$55,19,0)</f>
        <v>4583509.615384615</v>
      </c>
      <c r="C282" s="183">
        <v>16</v>
      </c>
      <c r="D282" s="185">
        <f>B276+D278+D279+D277+D281+D280</f>
        <v>4583509.615384615</v>
      </c>
      <c r="E282" s="108"/>
    </row>
    <row r="283" spans="1:5">
      <c r="A283" s="421" t="s">
        <v>535</v>
      </c>
      <c r="B283" s="412">
        <f>VLOOKUP(B266,'BANG LUONG 1'!$B$4:$AJ$55,20,0)</f>
        <v>-4583509.615384615</v>
      </c>
      <c r="C283" s="421">
        <v>17</v>
      </c>
      <c r="D283" s="41"/>
    </row>
    <row r="284" spans="1:5">
      <c r="A284" s="421" t="s">
        <v>370</v>
      </c>
      <c r="B284" s="412">
        <f>VLOOKUP(B266,'BANG LUONG 1'!$B$4:$AJ$55,22,0)</f>
        <v>220687.5</v>
      </c>
      <c r="C284" s="421">
        <v>18</v>
      </c>
      <c r="D284" s="41"/>
    </row>
    <row r="285" spans="1:5">
      <c r="A285" s="421" t="s">
        <v>371</v>
      </c>
      <c r="B285" s="412">
        <f>VLOOKUP(B266,'BANG LUONG 1'!$B$4:$AJ$55,23,0)</f>
        <v>300000</v>
      </c>
      <c r="C285" s="421">
        <v>19</v>
      </c>
      <c r="D285" s="41"/>
    </row>
    <row r="286" spans="1:5">
      <c r="A286" s="421" t="s">
        <v>560</v>
      </c>
      <c r="B286" s="412">
        <f>VLOOKUP(B266,'BANG LUONG 1'!$B$4:$AJ$55,24,0)</f>
        <v>0</v>
      </c>
      <c r="C286" s="421">
        <v>22</v>
      </c>
      <c r="D286" s="41"/>
    </row>
    <row r="287" spans="1:5">
      <c r="A287" s="183" t="s">
        <v>237</v>
      </c>
      <c r="B287" s="415">
        <f>VLOOKUP(B266,'BANG LUONG 1'!$B$4:$AJ$55,26,0)</f>
        <v>520687.5</v>
      </c>
      <c r="C287" s="421">
        <v>24</v>
      </c>
      <c r="D287" s="41"/>
    </row>
    <row r="288" spans="1:5">
      <c r="A288" s="421" t="s">
        <v>545</v>
      </c>
      <c r="B288" s="412">
        <f>VLOOKUP(B266,'BANG LUONG 1'!$B$4:$AJ$55,27,0)</f>
        <v>3000000</v>
      </c>
      <c r="C288" s="421">
        <v>25</v>
      </c>
      <c r="D288" s="41"/>
    </row>
    <row r="289" spans="1:5">
      <c r="A289" s="421" t="s">
        <v>544</v>
      </c>
      <c r="B289" s="412">
        <f>VLOOKUP(B266,'BANG LUONG 1'!$B$4:$AJ$55,28,0)</f>
        <v>480585</v>
      </c>
      <c r="C289" s="421">
        <v>26</v>
      </c>
      <c r="D289" s="41"/>
    </row>
    <row r="290" spans="1:5">
      <c r="A290" s="421" t="s">
        <v>713</v>
      </c>
      <c r="B290" s="415">
        <f>VLOOKUP(B266,'BANG LUONG 1'!$B$4:$AJ$55,32,0)</f>
        <v>0</v>
      </c>
      <c r="C290" s="421"/>
      <c r="D290" s="41"/>
    </row>
    <row r="291" spans="1:5">
      <c r="A291" s="421" t="s">
        <v>714</v>
      </c>
      <c r="B291" s="415">
        <f>VLOOKUP(B266,'BANG LUONG 1'!$B$4:$AJ$55,33,0)</f>
        <v>0</v>
      </c>
      <c r="C291" s="421"/>
      <c r="D291" s="41"/>
    </row>
    <row r="292" spans="1:5">
      <c r="A292" s="183" t="s">
        <v>707</v>
      </c>
      <c r="B292" s="415">
        <f>VLOOKUP(B266,'BANG LUONG 1'!$B$4:$AJ$55,30,0)</f>
        <v>0</v>
      </c>
      <c r="C292" s="421"/>
      <c r="D292" s="41"/>
      <c r="E292" s="108" t="str">
        <f>B267</f>
        <v>Nguyễn Văn Chạy</v>
      </c>
    </row>
    <row r="293" spans="1:5">
      <c r="A293" s="183" t="s">
        <v>546</v>
      </c>
      <c r="B293" s="415">
        <f>VLOOKUP(B266,'BANG LUONG 1'!$B$4:$AJ$55,35,0)</f>
        <v>-2960000</v>
      </c>
      <c r="C293" s="421"/>
      <c r="D293" s="41"/>
    </row>
    <row r="294" spans="1:5">
      <c r="A294" s="184" t="s">
        <v>549</v>
      </c>
      <c r="B294" s="424">
        <f>'BANG LUONG 1'!$P$2</f>
        <v>43702</v>
      </c>
    </row>
    <row r="295" spans="1:5">
      <c r="A295" s="183" t="s">
        <v>1</v>
      </c>
      <c r="B295" s="185" t="s">
        <v>132</v>
      </c>
      <c r="C295" s="421">
        <v>1</v>
      </c>
      <c r="D295" s="41"/>
    </row>
    <row r="296" spans="1:5">
      <c r="A296" s="183" t="s">
        <v>2</v>
      </c>
      <c r="B296" s="185" t="str">
        <f>VLOOKUP($B295,'BANG LUONG 1'!$B$5:$AB$50,C296,0)</f>
        <v>Hà Hoàng Hùng</v>
      </c>
      <c r="C296" s="421">
        <v>2</v>
      </c>
      <c r="D296" s="41"/>
    </row>
    <row r="297" spans="1:5">
      <c r="A297" s="421" t="s">
        <v>3</v>
      </c>
      <c r="B297" s="41" t="str">
        <f>VLOOKUP($B295,'BANG LUONG 1'!$B$5:$AJ$50,C297,0)</f>
        <v>Lái xe cơ giới</v>
      </c>
      <c r="C297" s="421">
        <v>3</v>
      </c>
      <c r="D297" s="41"/>
    </row>
    <row r="298" spans="1:5">
      <c r="A298" s="421" t="s">
        <v>376</v>
      </c>
      <c r="B298" s="410">
        <f>VLOOKUP($B295,'BANG LUONG 1'!$B$4:$AJ$55,4,0)</f>
        <v>41876</v>
      </c>
      <c r="C298" s="421">
        <v>4</v>
      </c>
      <c r="D298" s="41"/>
    </row>
    <row r="299" spans="1:5">
      <c r="A299" s="421" t="s">
        <v>698</v>
      </c>
      <c r="B299" s="411">
        <f>VLOOKUP(B295,'BANG LUONG 1'!$B$4:$AJ$55,6,0)</f>
        <v>0.05</v>
      </c>
      <c r="C299" s="421">
        <v>5</v>
      </c>
      <c r="D299" s="41"/>
    </row>
    <row r="300" spans="1:5">
      <c r="A300" s="421" t="s">
        <v>229</v>
      </c>
      <c r="B300" s="412">
        <f>'thang luong moi'!$F$5</f>
        <v>4012500</v>
      </c>
      <c r="C300" s="421">
        <v>6</v>
      </c>
      <c r="D300" s="41"/>
    </row>
    <row r="301" spans="1:5">
      <c r="A301" s="421" t="s">
        <v>217</v>
      </c>
      <c r="B301" s="412" t="str">
        <f>VLOOKUP(B295,'BANG LUONG 1'!$B$4:$AJ$55,8,0)</f>
        <v>B.02</v>
      </c>
      <c r="C301" s="421">
        <v>7</v>
      </c>
      <c r="D301" s="41"/>
    </row>
    <row r="302" spans="1:5">
      <c r="A302" s="421" t="s">
        <v>230</v>
      </c>
      <c r="B302" s="412">
        <f>VLOOKUP(B295,'BANG LUONG 1'!$B$4:$AJ$55,9,0)</f>
        <v>1</v>
      </c>
      <c r="C302" s="421">
        <v>8</v>
      </c>
      <c r="D302" s="41"/>
    </row>
    <row r="303" spans="1:5">
      <c r="A303" s="421" t="s">
        <v>538</v>
      </c>
      <c r="B303" s="412">
        <f>VLOOKUP(B295,'BANG LUONG 1'!$B$4:$AJ$55,11,0)</f>
        <v>4413750</v>
      </c>
      <c r="C303" s="421">
        <v>9</v>
      </c>
      <c r="D303" s="41"/>
    </row>
    <row r="304" spans="1:5">
      <c r="A304" s="421" t="s">
        <v>354</v>
      </c>
      <c r="B304" s="412">
        <f>VLOOKUP(B295,'BANG LUONG 1'!$B$4:$AJ$55,12,0)</f>
        <v>27</v>
      </c>
      <c r="C304" s="421">
        <v>10</v>
      </c>
      <c r="D304" s="41"/>
    </row>
    <row r="305" spans="1:5">
      <c r="A305" s="421" t="s">
        <v>534</v>
      </c>
      <c r="B305" s="412">
        <f>VLOOKUP(B295,'BANG LUONG 1'!$B$4:$AJ$55,13,0)</f>
        <v>4583509.615384615</v>
      </c>
      <c r="C305" s="421">
        <v>11</v>
      </c>
      <c r="D305" s="41"/>
    </row>
    <row r="306" spans="1:5">
      <c r="A306" s="421" t="s">
        <v>592</v>
      </c>
      <c r="B306" s="412">
        <f>VLOOKUP(B295,'BANG LUONG 1'!$B$4:$AJ$55,14,0)</f>
        <v>0</v>
      </c>
      <c r="C306" s="421">
        <v>12</v>
      </c>
      <c r="D306" s="41">
        <f>B303/26*B306</f>
        <v>0</v>
      </c>
    </row>
    <row r="307" spans="1:5">
      <c r="A307" s="421" t="s">
        <v>357</v>
      </c>
      <c r="B307" s="412">
        <f>VLOOKUP(B295,'BANG LUONG 1'!$B$4:$AJ$55,15,0)</f>
        <v>0</v>
      </c>
      <c r="C307" s="421">
        <v>13</v>
      </c>
      <c r="D307" s="41">
        <f>B303/26/8*1.5*B307</f>
        <v>0</v>
      </c>
    </row>
    <row r="308" spans="1:5">
      <c r="A308" s="421" t="s">
        <v>387</v>
      </c>
      <c r="B308" s="412">
        <f>VLOOKUP(B295,'BANG LUONG 1'!$B$4:$AJ$55,16,0)</f>
        <v>0</v>
      </c>
      <c r="C308" s="421">
        <v>14</v>
      </c>
      <c r="D308" s="41">
        <f>B303/26/8*2*B308</f>
        <v>0</v>
      </c>
    </row>
    <row r="309" spans="1:5">
      <c r="A309" s="421" t="s">
        <v>593</v>
      </c>
      <c r="B309" s="412">
        <f>VLOOKUP(B295,'BANG LUONG 1'!$B$4:$AJ$55,17,0)</f>
        <v>0</v>
      </c>
      <c r="C309" s="421"/>
      <c r="D309" s="41">
        <f>(B303/26)*B309</f>
        <v>0</v>
      </c>
    </row>
    <row r="310" spans="1:5">
      <c r="A310" s="421" t="s">
        <v>388</v>
      </c>
      <c r="B310" s="412">
        <f>VLOOKUP(B295,'BANG LUONG 1'!$B$4:$AJ$55,18,0)</f>
        <v>0</v>
      </c>
      <c r="C310" s="421">
        <v>15</v>
      </c>
      <c r="D310" s="41">
        <f>(B303/26*B310)*3</f>
        <v>0</v>
      </c>
    </row>
    <row r="311" spans="1:5">
      <c r="A311" s="421" t="s">
        <v>533</v>
      </c>
      <c r="B311" s="412">
        <f>VLOOKUP(B295,'BANG LUONG 1'!$B$4:$AJ$55,19,0)</f>
        <v>4583509.615384615</v>
      </c>
      <c r="C311" s="183">
        <v>16</v>
      </c>
      <c r="D311" s="185">
        <f>B305+D307+D308+D306+D310+D309</f>
        <v>4583509.615384615</v>
      </c>
      <c r="E311" s="108"/>
    </row>
    <row r="312" spans="1:5">
      <c r="A312" s="421" t="s">
        <v>535</v>
      </c>
      <c r="B312" s="412">
        <f>VLOOKUP(B295,'BANG LUONG 1'!$B$4:$AJ$55,20,0)</f>
        <v>-4583509.615384615</v>
      </c>
      <c r="C312" s="421">
        <v>17</v>
      </c>
      <c r="D312" s="41"/>
    </row>
    <row r="313" spans="1:5">
      <c r="A313" s="421" t="s">
        <v>370</v>
      </c>
      <c r="B313" s="412">
        <f>VLOOKUP(B295,'BANG LUONG 1'!$B$4:$AJ$55,22,0)</f>
        <v>220687.5</v>
      </c>
      <c r="C313" s="421">
        <v>18</v>
      </c>
      <c r="D313" s="41"/>
    </row>
    <row r="314" spans="1:5">
      <c r="A314" s="421" t="s">
        <v>371</v>
      </c>
      <c r="B314" s="412">
        <f>VLOOKUP(B295,'BANG LUONG 1'!$B$4:$AJ$55,23,0)</f>
        <v>300000</v>
      </c>
      <c r="C314" s="421">
        <v>19</v>
      </c>
      <c r="D314" s="41"/>
    </row>
    <row r="315" spans="1:5">
      <c r="A315" s="421" t="s">
        <v>560</v>
      </c>
      <c r="B315" s="412">
        <f>VLOOKUP(B295,'BANG LUONG 1'!$B$4:$AJ$55,24,0)</f>
        <v>0</v>
      </c>
      <c r="C315" s="421">
        <v>22</v>
      </c>
      <c r="D315" s="41"/>
    </row>
    <row r="316" spans="1:5">
      <c r="A316" s="183" t="s">
        <v>237</v>
      </c>
      <c r="B316" s="415">
        <f>VLOOKUP(B295,'BANG LUONG 1'!$B$4:$AJ$55,26,0)</f>
        <v>520687.5</v>
      </c>
      <c r="C316" s="421">
        <v>24</v>
      </c>
      <c r="D316" s="41"/>
    </row>
    <row r="317" spans="1:5">
      <c r="A317" s="421" t="s">
        <v>545</v>
      </c>
      <c r="B317" s="412">
        <f>VLOOKUP(B295,'BANG LUONG 1'!$B$4:$AJ$55,27,0)</f>
        <v>0</v>
      </c>
      <c r="C317" s="421">
        <v>25</v>
      </c>
      <c r="D317" s="41"/>
    </row>
    <row r="318" spans="1:5">
      <c r="A318" s="421" t="s">
        <v>544</v>
      </c>
      <c r="B318" s="412">
        <f>VLOOKUP(B295,'BANG LUONG 1'!$B$4:$AJ$55,28,0)</f>
        <v>480585</v>
      </c>
      <c r="C318" s="421">
        <v>26</v>
      </c>
      <c r="D318" s="41"/>
    </row>
    <row r="319" spans="1:5">
      <c r="A319" s="421" t="s">
        <v>713</v>
      </c>
      <c r="B319" s="415">
        <f>VLOOKUP(B295,'BANG LUONG 1'!$B$4:$AJ$55,32,0)</f>
        <v>0</v>
      </c>
      <c r="C319" s="421"/>
      <c r="D319" s="41"/>
    </row>
    <row r="320" spans="1:5">
      <c r="A320" s="421" t="s">
        <v>714</v>
      </c>
      <c r="B320" s="415">
        <f>VLOOKUP(B295,'BANG LUONG 1'!$B$4:$AJ$55,33,0)</f>
        <v>0</v>
      </c>
      <c r="C320" s="421"/>
      <c r="D320" s="41"/>
    </row>
    <row r="321" spans="1:5">
      <c r="A321" s="183" t="s">
        <v>707</v>
      </c>
      <c r="B321" s="415">
        <f>VLOOKUP(B295,'BANG LUONG 1'!$B$4:$AJ$55,30,0)</f>
        <v>0</v>
      </c>
      <c r="C321" s="421"/>
      <c r="D321" s="41"/>
      <c r="E321" s="108" t="str">
        <f>B296</f>
        <v>Hà Hoàng Hùng</v>
      </c>
    </row>
    <row r="322" spans="1:5">
      <c r="A322" s="183" t="s">
        <v>546</v>
      </c>
      <c r="B322" s="415">
        <f>VLOOKUP(B295,'BANG LUONG 1'!$B$4:$AJ$55,35,0)</f>
        <v>40000</v>
      </c>
      <c r="C322" s="421"/>
      <c r="D322" s="41"/>
    </row>
    <row r="323" spans="1:5">
      <c r="A323" s="184" t="s">
        <v>549</v>
      </c>
      <c r="B323" s="424">
        <f>'BANG LUONG 1'!$P$2</f>
        <v>43702</v>
      </c>
    </row>
    <row r="324" spans="1:5">
      <c r="A324" s="183" t="s">
        <v>1</v>
      </c>
      <c r="B324" s="185" t="s">
        <v>133</v>
      </c>
      <c r="C324" s="421">
        <v>1</v>
      </c>
      <c r="D324" s="41"/>
    </row>
    <row r="325" spans="1:5">
      <c r="A325" s="183" t="s">
        <v>2</v>
      </c>
      <c r="B325" s="185" t="str">
        <f>VLOOKUP($B324,'BANG LUONG 1'!$B$5:$AB$50,C325,0)</f>
        <v>Châu Thành Nhân</v>
      </c>
      <c r="C325" s="421">
        <v>2</v>
      </c>
      <c r="D325" s="41"/>
    </row>
    <row r="326" spans="1:5">
      <c r="A326" s="421" t="s">
        <v>3</v>
      </c>
      <c r="B326" s="41" t="str">
        <f>VLOOKUP($B324,'BANG LUONG 1'!$B$5:$AJ$50,C326,0)</f>
        <v>Lái xe cơ giới</v>
      </c>
      <c r="C326" s="421">
        <v>3</v>
      </c>
      <c r="D326" s="41"/>
    </row>
    <row r="327" spans="1:5">
      <c r="A327" s="421" t="s">
        <v>376</v>
      </c>
      <c r="B327" s="410">
        <f>VLOOKUP($B324,'BANG LUONG 1'!$B$4:$AJ$55,4,0)</f>
        <v>41997</v>
      </c>
      <c r="C327" s="421">
        <v>4</v>
      </c>
      <c r="D327" s="41"/>
    </row>
    <row r="328" spans="1:5">
      <c r="A328" s="421" t="s">
        <v>698</v>
      </c>
      <c r="B328" s="411">
        <f>VLOOKUP(B324,'BANG LUONG 1'!$B$4:$AJ$55,6,0)</f>
        <v>0.04</v>
      </c>
      <c r="C328" s="421">
        <v>5</v>
      </c>
      <c r="D328" s="41"/>
    </row>
    <row r="329" spans="1:5">
      <c r="A329" s="421" t="s">
        <v>229</v>
      </c>
      <c r="B329" s="412">
        <f>'thang luong moi'!$F$5</f>
        <v>4012500</v>
      </c>
      <c r="C329" s="421">
        <v>6</v>
      </c>
      <c r="D329" s="41"/>
    </row>
    <row r="330" spans="1:5">
      <c r="A330" s="421" t="s">
        <v>217</v>
      </c>
      <c r="B330" s="412" t="str">
        <f>VLOOKUP(B324,'BANG LUONG 1'!$B$4:$AJ$55,8,0)</f>
        <v>B.02</v>
      </c>
      <c r="C330" s="421">
        <v>7</v>
      </c>
      <c r="D330" s="41"/>
    </row>
    <row r="331" spans="1:5">
      <c r="A331" s="421" t="s">
        <v>230</v>
      </c>
      <c r="B331" s="412">
        <f>VLOOKUP(B324,'BANG LUONG 1'!$B$4:$AJ$55,9,0)</f>
        <v>1</v>
      </c>
      <c r="C331" s="421">
        <v>8</v>
      </c>
      <c r="D331" s="41"/>
    </row>
    <row r="332" spans="1:5">
      <c r="A332" s="421" t="s">
        <v>538</v>
      </c>
      <c r="B332" s="412">
        <f>VLOOKUP(B324,'BANG LUONG 1'!$B$4:$AJ$55,11,0)</f>
        <v>4413750</v>
      </c>
      <c r="C332" s="421">
        <v>9</v>
      </c>
      <c r="D332" s="41"/>
    </row>
    <row r="333" spans="1:5">
      <c r="A333" s="421" t="s">
        <v>354</v>
      </c>
      <c r="B333" s="412">
        <f>VLOOKUP(B324,'BANG LUONG 1'!$B$4:$AJ$55,12,0)</f>
        <v>27</v>
      </c>
      <c r="C333" s="421">
        <v>10</v>
      </c>
      <c r="D333" s="41"/>
    </row>
    <row r="334" spans="1:5">
      <c r="A334" s="421" t="s">
        <v>534</v>
      </c>
      <c r="B334" s="412">
        <f>VLOOKUP(B324,'BANG LUONG 1'!$B$4:$AJ$55,13,0)</f>
        <v>4583509.615384615</v>
      </c>
      <c r="C334" s="421">
        <v>11</v>
      </c>
      <c r="D334" s="41"/>
    </row>
    <row r="335" spans="1:5">
      <c r="A335" s="421" t="s">
        <v>592</v>
      </c>
      <c r="B335" s="412">
        <f>VLOOKUP(B324,'BANG LUONG 1'!$B$4:$AJ$55,14,0)</f>
        <v>0</v>
      </c>
      <c r="C335" s="421">
        <v>12</v>
      </c>
      <c r="D335" s="41">
        <f>B332/26*B335</f>
        <v>0</v>
      </c>
    </row>
    <row r="336" spans="1:5">
      <c r="A336" s="421" t="s">
        <v>357</v>
      </c>
      <c r="B336" s="412">
        <f>VLOOKUP(B324,'BANG LUONG 1'!$B$4:$AJ$55,15,0)</f>
        <v>0</v>
      </c>
      <c r="C336" s="421">
        <v>13</v>
      </c>
      <c r="D336" s="41">
        <f>B332/26/8*1.5*B336</f>
        <v>0</v>
      </c>
    </row>
    <row r="337" spans="1:5">
      <c r="A337" s="421" t="s">
        <v>387</v>
      </c>
      <c r="B337" s="412">
        <f>VLOOKUP(B324,'BANG LUONG 1'!$B$4:$AJ$55,16,0)</f>
        <v>0</v>
      </c>
      <c r="C337" s="421">
        <v>14</v>
      </c>
      <c r="D337" s="41">
        <f>B332/26/8*2*B337</f>
        <v>0</v>
      </c>
    </row>
    <row r="338" spans="1:5">
      <c r="A338" s="421" t="s">
        <v>593</v>
      </c>
      <c r="B338" s="412">
        <f>VLOOKUP(B324,'BANG LUONG 1'!$B$4:$AJ$55,17,0)</f>
        <v>0</v>
      </c>
      <c r="C338" s="421"/>
      <c r="D338" s="41">
        <f>(B332/26)*B338</f>
        <v>0</v>
      </c>
    </row>
    <row r="339" spans="1:5">
      <c r="A339" s="421" t="s">
        <v>388</v>
      </c>
      <c r="B339" s="412">
        <f>VLOOKUP(B324,'BANG LUONG 1'!$B$4:$AJ$55,18,0)</f>
        <v>0</v>
      </c>
      <c r="C339" s="421">
        <v>15</v>
      </c>
      <c r="D339" s="41">
        <f>(B332/26*B339)*3</f>
        <v>0</v>
      </c>
    </row>
    <row r="340" spans="1:5">
      <c r="A340" s="421" t="s">
        <v>533</v>
      </c>
      <c r="B340" s="412">
        <f>VLOOKUP(B324,'BANG LUONG 1'!$B$4:$AJ$55,19,0)</f>
        <v>4583509.615384615</v>
      </c>
      <c r="C340" s="183">
        <v>16</v>
      </c>
      <c r="D340" s="185">
        <f>B334+D336+D337+D335+D339+D338</f>
        <v>4583509.615384615</v>
      </c>
      <c r="E340" s="108"/>
    </row>
    <row r="341" spans="1:5">
      <c r="A341" s="421" t="s">
        <v>535</v>
      </c>
      <c r="B341" s="412">
        <f>VLOOKUP(B324,'BANG LUONG 1'!$B$4:$AJ$55,20,0)</f>
        <v>-4583509.615384615</v>
      </c>
      <c r="C341" s="421">
        <v>17</v>
      </c>
      <c r="D341" s="41"/>
    </row>
    <row r="342" spans="1:5">
      <c r="A342" s="421" t="s">
        <v>370</v>
      </c>
      <c r="B342" s="412">
        <f>VLOOKUP(B324,'BANG LUONG 1'!$B$4:$AJ$55,22,0)</f>
        <v>176550</v>
      </c>
      <c r="C342" s="421">
        <v>18</v>
      </c>
      <c r="D342" s="41"/>
    </row>
    <row r="343" spans="1:5">
      <c r="A343" s="421" t="s">
        <v>371</v>
      </c>
      <c r="B343" s="412">
        <f>VLOOKUP(B324,'BANG LUONG 1'!$B$4:$AJ$55,23,0)</f>
        <v>300000</v>
      </c>
      <c r="C343" s="421">
        <v>19</v>
      </c>
      <c r="D343" s="41"/>
    </row>
    <row r="344" spans="1:5">
      <c r="A344" s="421" t="s">
        <v>560</v>
      </c>
      <c r="B344" s="412">
        <f>VLOOKUP(B324,'BANG LUONG 1'!$B$4:$AJ$55,24,0)</f>
        <v>0</v>
      </c>
      <c r="C344" s="421">
        <v>22</v>
      </c>
      <c r="D344" s="41"/>
    </row>
    <row r="345" spans="1:5">
      <c r="A345" s="183" t="s">
        <v>237</v>
      </c>
      <c r="B345" s="415">
        <f>VLOOKUP(B324,'BANG LUONG 1'!$B$4:$AJ$55,26,0)</f>
        <v>476550</v>
      </c>
      <c r="C345" s="421">
        <v>24</v>
      </c>
      <c r="D345" s="41"/>
    </row>
    <row r="346" spans="1:5">
      <c r="A346" s="421" t="s">
        <v>545</v>
      </c>
      <c r="B346" s="412">
        <f>VLOOKUP(B324,'BANG LUONG 1'!$B$4:$AJ$55,27,0)</f>
        <v>4000000</v>
      </c>
      <c r="C346" s="421">
        <v>25</v>
      </c>
      <c r="D346" s="41"/>
    </row>
    <row r="347" spans="1:5">
      <c r="A347" s="421" t="s">
        <v>544</v>
      </c>
      <c r="B347" s="412">
        <f>VLOOKUP(B324,'BANG LUONG 1'!$B$4:$AJ$55,28,0)</f>
        <v>480585</v>
      </c>
      <c r="C347" s="421">
        <v>26</v>
      </c>
      <c r="D347" s="41"/>
    </row>
    <row r="348" spans="1:5">
      <c r="A348" s="421" t="s">
        <v>713</v>
      </c>
      <c r="B348" s="415">
        <f>VLOOKUP(B324,'BANG LUONG 1'!$B$4:$AJ$55,32,0)</f>
        <v>0</v>
      </c>
      <c r="C348" s="421"/>
      <c r="D348" s="41"/>
    </row>
    <row r="349" spans="1:5">
      <c r="A349" s="421" t="s">
        <v>714</v>
      </c>
      <c r="B349" s="415">
        <f>VLOOKUP(B324,'BANG LUONG 1'!$B$4:$AJ$55,33,0)</f>
        <v>0</v>
      </c>
      <c r="C349" s="421"/>
      <c r="D349" s="41"/>
    </row>
    <row r="350" spans="1:5">
      <c r="A350" s="183" t="s">
        <v>707</v>
      </c>
      <c r="B350" s="415">
        <f>VLOOKUP(B324,'BANG LUONG 1'!$B$4:$AJ$55,30,0)</f>
        <v>0</v>
      </c>
      <c r="C350" s="421"/>
      <c r="D350" s="41"/>
      <c r="E350" s="108" t="str">
        <f>B325</f>
        <v>Châu Thành Nhân</v>
      </c>
    </row>
    <row r="351" spans="1:5">
      <c r="A351" s="183" t="s">
        <v>546</v>
      </c>
      <c r="B351" s="415">
        <f>VLOOKUP(B324,'BANG LUONG 1'!$B$4:$AJ$55,35,0)</f>
        <v>-4004000</v>
      </c>
      <c r="C351" s="421"/>
      <c r="D351" s="41"/>
    </row>
    <row r="352" spans="1:5">
      <c r="A352" s="184" t="s">
        <v>549</v>
      </c>
      <c r="B352" s="424">
        <f>'BANG LUONG 1'!$P$2</f>
        <v>43702</v>
      </c>
    </row>
    <row r="353" spans="1:4">
      <c r="A353" s="183" t="s">
        <v>1</v>
      </c>
      <c r="B353" s="185" t="s">
        <v>135</v>
      </c>
      <c r="C353" s="421">
        <v>1</v>
      </c>
      <c r="D353" s="41"/>
    </row>
    <row r="354" spans="1:4">
      <c r="A354" s="183" t="s">
        <v>2</v>
      </c>
      <c r="B354" s="185" t="str">
        <f>VLOOKUP($B353,'BANG LUONG 1'!$B$5:$AB$50,C354,0)</f>
        <v>Châu Văn Phước</v>
      </c>
      <c r="C354" s="421">
        <v>2</v>
      </c>
      <c r="D354" s="41"/>
    </row>
    <row r="355" spans="1:4">
      <c r="A355" s="421" t="s">
        <v>3</v>
      </c>
      <c r="B355" s="41" t="str">
        <f>VLOOKUP($B353,'BANG LUONG 1'!$B$5:$AJ$50,C355,0)</f>
        <v>Lái xe cơ giới</v>
      </c>
      <c r="C355" s="421">
        <v>3</v>
      </c>
      <c r="D355" s="41"/>
    </row>
    <row r="356" spans="1:4">
      <c r="A356" s="421" t="s">
        <v>376</v>
      </c>
      <c r="B356" s="410">
        <f>VLOOKUP($B353,'BANG LUONG 1'!$B$4:$AJ$55,4,0)</f>
        <v>42371</v>
      </c>
      <c r="C356" s="421">
        <v>4</v>
      </c>
      <c r="D356" s="41"/>
    </row>
    <row r="357" spans="1:4">
      <c r="A357" s="421" t="s">
        <v>698</v>
      </c>
      <c r="B357" s="411">
        <f>VLOOKUP(B353,'BANG LUONG 1'!$B$4:$AJ$55,6,0)</f>
        <v>0.03</v>
      </c>
      <c r="C357" s="421">
        <v>5</v>
      </c>
      <c r="D357" s="41"/>
    </row>
    <row r="358" spans="1:4">
      <c r="A358" s="421" t="s">
        <v>229</v>
      </c>
      <c r="B358" s="412">
        <f>'thang luong moi'!$F$5</f>
        <v>4012500</v>
      </c>
      <c r="C358" s="421">
        <v>6</v>
      </c>
      <c r="D358" s="41"/>
    </row>
    <row r="359" spans="1:4">
      <c r="A359" s="421" t="s">
        <v>217</v>
      </c>
      <c r="B359" s="412" t="str">
        <f>VLOOKUP(B353,'BANG LUONG 1'!$B$4:$AJ$55,8,0)</f>
        <v>B.02</v>
      </c>
      <c r="C359" s="421">
        <v>7</v>
      </c>
      <c r="D359" s="41"/>
    </row>
    <row r="360" spans="1:4">
      <c r="A360" s="421" t="s">
        <v>230</v>
      </c>
      <c r="B360" s="412">
        <f>VLOOKUP(B353,'BANG LUONG 1'!$B$4:$AJ$55,9,0)</f>
        <v>1</v>
      </c>
      <c r="C360" s="421">
        <v>8</v>
      </c>
      <c r="D360" s="41"/>
    </row>
    <row r="361" spans="1:4">
      <c r="A361" s="421" t="s">
        <v>538</v>
      </c>
      <c r="B361" s="412">
        <f>VLOOKUP(B353,'BANG LUONG 1'!$B$4:$AJ$55,11,0)</f>
        <v>4413750</v>
      </c>
      <c r="C361" s="421">
        <v>9</v>
      </c>
      <c r="D361" s="41"/>
    </row>
    <row r="362" spans="1:4">
      <c r="A362" s="421" t="s">
        <v>354</v>
      </c>
      <c r="B362" s="412">
        <f>VLOOKUP(B353,'BANG LUONG 1'!$B$4:$AJ$55,12,0)</f>
        <v>27</v>
      </c>
      <c r="C362" s="421">
        <v>10</v>
      </c>
      <c r="D362" s="41"/>
    </row>
    <row r="363" spans="1:4">
      <c r="A363" s="421" t="s">
        <v>534</v>
      </c>
      <c r="B363" s="412">
        <f>VLOOKUP(B353,'BANG LUONG 1'!$B$4:$AJ$55,13,0)</f>
        <v>4583509.615384615</v>
      </c>
      <c r="C363" s="421">
        <v>11</v>
      </c>
      <c r="D363" s="41"/>
    </row>
    <row r="364" spans="1:4">
      <c r="A364" s="421" t="s">
        <v>592</v>
      </c>
      <c r="B364" s="412">
        <f>VLOOKUP(B353,'BANG LUONG 1'!$B$4:$AJ$55,14,0)</f>
        <v>0</v>
      </c>
      <c r="C364" s="421">
        <v>12</v>
      </c>
      <c r="D364" s="41">
        <f>B361/26*B364</f>
        <v>0</v>
      </c>
    </row>
    <row r="365" spans="1:4">
      <c r="A365" s="421" t="s">
        <v>357</v>
      </c>
      <c r="B365" s="412">
        <f>VLOOKUP(B353,'BANG LUONG 1'!$B$4:$AJ$55,15,0)</f>
        <v>0</v>
      </c>
      <c r="C365" s="421">
        <v>13</v>
      </c>
      <c r="D365" s="41">
        <f>B361/26/8*1.5*B365</f>
        <v>0</v>
      </c>
    </row>
    <row r="366" spans="1:4">
      <c r="A366" s="421" t="s">
        <v>387</v>
      </c>
      <c r="B366" s="412">
        <f>VLOOKUP(B353,'BANG LUONG 1'!$B$4:$AJ$55,16,0)</f>
        <v>0</v>
      </c>
      <c r="C366" s="421">
        <v>14</v>
      </c>
      <c r="D366" s="41">
        <f>B361/26/8*2*B366</f>
        <v>0</v>
      </c>
    </row>
    <row r="367" spans="1:4">
      <c r="A367" s="421" t="s">
        <v>593</v>
      </c>
      <c r="B367" s="412">
        <f>VLOOKUP(B353,'BANG LUONG 1'!$B$4:$AJ$55,17,0)</f>
        <v>0</v>
      </c>
      <c r="C367" s="421"/>
      <c r="D367" s="41">
        <f>(B361/26)*B367</f>
        <v>0</v>
      </c>
    </row>
    <row r="368" spans="1:4">
      <c r="A368" s="421" t="s">
        <v>388</v>
      </c>
      <c r="B368" s="412">
        <f>VLOOKUP(B353,'BANG LUONG 1'!$B$4:$AJ$55,18,0)</f>
        <v>0</v>
      </c>
      <c r="C368" s="421">
        <v>15</v>
      </c>
      <c r="D368" s="41">
        <f>(B361/26*B368)*3</f>
        <v>0</v>
      </c>
    </row>
    <row r="369" spans="1:5">
      <c r="A369" s="421" t="s">
        <v>533</v>
      </c>
      <c r="B369" s="412">
        <f>VLOOKUP(B353,'BANG LUONG 1'!$B$4:$AJ$55,19,0)</f>
        <v>4583509.615384615</v>
      </c>
      <c r="C369" s="183">
        <v>16</v>
      </c>
      <c r="D369" s="185">
        <f>B363+D365+D366+D364+D368+D367</f>
        <v>4583509.615384615</v>
      </c>
      <c r="E369" s="108"/>
    </row>
    <row r="370" spans="1:5">
      <c r="A370" s="421" t="s">
        <v>535</v>
      </c>
      <c r="B370" s="412">
        <f>VLOOKUP(B353,'BANG LUONG 1'!$B$4:$AJ$55,20,0)</f>
        <v>-4583509.615384615</v>
      </c>
      <c r="C370" s="421">
        <v>17</v>
      </c>
      <c r="D370" s="41"/>
    </row>
    <row r="371" spans="1:5">
      <c r="A371" s="421" t="s">
        <v>370</v>
      </c>
      <c r="B371" s="412">
        <f>VLOOKUP(B353,'BANG LUONG 1'!$B$4:$AJ$55,22,0)</f>
        <v>132412.5</v>
      </c>
      <c r="C371" s="421">
        <v>18</v>
      </c>
      <c r="D371" s="41"/>
    </row>
    <row r="372" spans="1:5">
      <c r="A372" s="421" t="s">
        <v>371</v>
      </c>
      <c r="B372" s="412">
        <f>VLOOKUP(B353,'BANG LUONG 1'!$B$4:$AJ$55,23,0)</f>
        <v>300000</v>
      </c>
      <c r="C372" s="421">
        <v>19</v>
      </c>
      <c r="D372" s="41"/>
    </row>
    <row r="373" spans="1:5">
      <c r="A373" s="421" t="s">
        <v>560</v>
      </c>
      <c r="B373" s="412">
        <f>VLOOKUP(B353,'BANG LUONG 1'!$B$4:$AJ$55,24,0)</f>
        <v>0</v>
      </c>
      <c r="C373" s="421">
        <v>22</v>
      </c>
      <c r="D373" s="41"/>
    </row>
    <row r="374" spans="1:5">
      <c r="A374" s="183" t="s">
        <v>237</v>
      </c>
      <c r="B374" s="415">
        <f>VLOOKUP(B353,'BANG LUONG 1'!$B$4:$AJ$55,26,0)</f>
        <v>432412.5</v>
      </c>
      <c r="C374" s="421">
        <v>24</v>
      </c>
      <c r="D374" s="41"/>
    </row>
    <row r="375" spans="1:5">
      <c r="A375" s="421" t="s">
        <v>545</v>
      </c>
      <c r="B375" s="412">
        <f>VLOOKUP(B353,'BANG LUONG 1'!$B$4:$AJ$55,27,0)</f>
        <v>0</v>
      </c>
      <c r="C375" s="421">
        <v>25</v>
      </c>
      <c r="D375" s="41"/>
    </row>
    <row r="376" spans="1:5">
      <c r="A376" s="421" t="s">
        <v>544</v>
      </c>
      <c r="B376" s="412">
        <f>VLOOKUP(B353,'BANG LUONG 1'!$B$4:$AJ$55,28,0)</f>
        <v>480585</v>
      </c>
      <c r="C376" s="421">
        <v>26</v>
      </c>
      <c r="D376" s="41"/>
    </row>
    <row r="377" spans="1:5">
      <c r="A377" s="421" t="s">
        <v>713</v>
      </c>
      <c r="B377" s="415">
        <f>VLOOKUP(B353,'BANG LUONG 1'!$B$4:$AJ$55,32,0)</f>
        <v>0</v>
      </c>
      <c r="C377" s="421"/>
      <c r="D377" s="41"/>
    </row>
    <row r="378" spans="1:5">
      <c r="A378" s="421" t="s">
        <v>714</v>
      </c>
      <c r="B378" s="415">
        <f>VLOOKUP(B353,'BANG LUONG 1'!$B$4:$AJ$55,33,0)</f>
        <v>0</v>
      </c>
      <c r="C378" s="421"/>
      <c r="D378" s="41"/>
    </row>
    <row r="379" spans="1:5">
      <c r="A379" s="183" t="s">
        <v>707</v>
      </c>
      <c r="B379" s="415">
        <f>VLOOKUP(B353,'BANG LUONG 1'!$B$4:$AJ$55,30,0)</f>
        <v>0</v>
      </c>
      <c r="C379" s="421"/>
      <c r="D379" s="41"/>
      <c r="E379" s="108" t="str">
        <f>B354</f>
        <v>Châu Văn Phước</v>
      </c>
    </row>
    <row r="380" spans="1:5">
      <c r="A380" s="183" t="s">
        <v>546</v>
      </c>
      <c r="B380" s="415">
        <f>VLOOKUP(B353,'BANG LUONG 1'!$B$4:$AJ$55,35,0)</f>
        <v>-48000</v>
      </c>
      <c r="C380" s="421"/>
      <c r="D380" s="41"/>
    </row>
    <row r="381" spans="1:5">
      <c r="A381" s="184" t="s">
        <v>549</v>
      </c>
      <c r="B381" s="424">
        <f>'BANG LUONG 1'!$P$2</f>
        <v>43702</v>
      </c>
    </row>
    <row r="382" spans="1:5">
      <c r="A382" s="183" t="s">
        <v>1</v>
      </c>
      <c r="B382" s="185" t="s">
        <v>136</v>
      </c>
      <c r="C382" s="421">
        <v>1</v>
      </c>
      <c r="D382" s="41"/>
    </row>
    <row r="383" spans="1:5">
      <c r="A383" s="183" t="s">
        <v>2</v>
      </c>
      <c r="B383" s="185" t="str">
        <f>VLOOKUP($B382,'BANG LUONG 1'!$B$5:$AB$50,C383,0)</f>
        <v>Thạch Giàu</v>
      </c>
      <c r="C383" s="421">
        <v>2</v>
      </c>
      <c r="D383" s="41"/>
    </row>
    <row r="384" spans="1:5">
      <c r="A384" s="421" t="s">
        <v>3</v>
      </c>
      <c r="B384" s="41" t="str">
        <f>VLOOKUP($B382,'BANG LUONG 1'!$B$5:$AJ$50,C384,0)</f>
        <v>Lái xe cơ giới</v>
      </c>
      <c r="C384" s="421">
        <v>3</v>
      </c>
      <c r="D384" s="41"/>
    </row>
    <row r="385" spans="1:5">
      <c r="A385" s="421" t="s">
        <v>376</v>
      </c>
      <c r="B385" s="410">
        <f>VLOOKUP($B382,'BANG LUONG 1'!$B$4:$AJ$55,4,0)</f>
        <v>41321</v>
      </c>
      <c r="C385" s="421">
        <v>4</v>
      </c>
      <c r="D385" s="41"/>
    </row>
    <row r="386" spans="1:5">
      <c r="A386" s="421" t="s">
        <v>698</v>
      </c>
      <c r="B386" s="411">
        <f>VLOOKUP(B382,'BANG LUONG 1'!$B$4:$AJ$55,6,0)</f>
        <v>6.0000000000000005E-2</v>
      </c>
      <c r="C386" s="421">
        <v>5</v>
      </c>
      <c r="D386" s="41"/>
    </row>
    <row r="387" spans="1:5">
      <c r="A387" s="421" t="s">
        <v>229</v>
      </c>
      <c r="B387" s="412">
        <f>'thang luong moi'!$F$5</f>
        <v>4012500</v>
      </c>
      <c r="C387" s="421">
        <v>6</v>
      </c>
      <c r="D387" s="41"/>
    </row>
    <row r="388" spans="1:5">
      <c r="A388" s="421" t="s">
        <v>217</v>
      </c>
      <c r="B388" s="412" t="str">
        <f>VLOOKUP(B382,'BANG LUONG 1'!$B$4:$AJ$55,8,0)</f>
        <v>B.02</v>
      </c>
      <c r="C388" s="421">
        <v>7</v>
      </c>
      <c r="D388" s="41"/>
    </row>
    <row r="389" spans="1:5">
      <c r="A389" s="421" t="s">
        <v>230</v>
      </c>
      <c r="B389" s="412">
        <f>VLOOKUP(B382,'BANG LUONG 1'!$B$4:$AJ$55,9,0)</f>
        <v>1</v>
      </c>
      <c r="C389" s="421">
        <v>8</v>
      </c>
      <c r="D389" s="41"/>
    </row>
    <row r="390" spans="1:5">
      <c r="A390" s="421" t="s">
        <v>538</v>
      </c>
      <c r="B390" s="412">
        <f>VLOOKUP(B382,'BANG LUONG 1'!$B$4:$AJ$55,11,0)</f>
        <v>4413750</v>
      </c>
      <c r="C390" s="421">
        <v>9</v>
      </c>
      <c r="D390" s="41"/>
    </row>
    <row r="391" spans="1:5">
      <c r="A391" s="421" t="s">
        <v>354</v>
      </c>
      <c r="B391" s="412">
        <f>VLOOKUP(B382,'BANG LUONG 1'!$B$4:$AJ$55,12,0)</f>
        <v>27</v>
      </c>
      <c r="C391" s="421">
        <v>10</v>
      </c>
      <c r="D391" s="41"/>
    </row>
    <row r="392" spans="1:5">
      <c r="A392" s="421" t="s">
        <v>534</v>
      </c>
      <c r="B392" s="412">
        <f>VLOOKUP(B382,'BANG LUONG 1'!$B$4:$AJ$55,13,0)</f>
        <v>4583509.615384615</v>
      </c>
      <c r="C392" s="421">
        <v>11</v>
      </c>
      <c r="D392" s="41"/>
    </row>
    <row r="393" spans="1:5">
      <c r="A393" s="421" t="s">
        <v>592</v>
      </c>
      <c r="B393" s="412">
        <f>VLOOKUP(B382,'BANG LUONG 1'!$B$4:$AJ$55,14,0)</f>
        <v>0</v>
      </c>
      <c r="C393" s="421">
        <v>12</v>
      </c>
      <c r="D393" s="41">
        <f>B390/26*B393</f>
        <v>0</v>
      </c>
    </row>
    <row r="394" spans="1:5">
      <c r="A394" s="421" t="s">
        <v>357</v>
      </c>
      <c r="B394" s="412">
        <f>VLOOKUP(B382,'BANG LUONG 1'!$B$4:$AJ$55,15,0)</f>
        <v>0</v>
      </c>
      <c r="C394" s="421">
        <v>13</v>
      </c>
      <c r="D394" s="41">
        <f>B390/26/8*1.5*B394</f>
        <v>0</v>
      </c>
    </row>
    <row r="395" spans="1:5">
      <c r="A395" s="421" t="s">
        <v>387</v>
      </c>
      <c r="B395" s="412">
        <f>VLOOKUP(B382,'BANG LUONG 1'!$B$4:$AJ$55,16,0)</f>
        <v>0</v>
      </c>
      <c r="C395" s="421">
        <v>14</v>
      </c>
      <c r="D395" s="41">
        <f>B390/26/8*2*B395</f>
        <v>0</v>
      </c>
    </row>
    <row r="396" spans="1:5">
      <c r="A396" s="421" t="s">
        <v>593</v>
      </c>
      <c r="B396" s="412">
        <f>VLOOKUP(B382,'BANG LUONG 1'!$B$4:$AJ$55,17,0)</f>
        <v>0</v>
      </c>
      <c r="C396" s="421"/>
      <c r="D396" s="41">
        <f>(B390/26)*B396</f>
        <v>0</v>
      </c>
    </row>
    <row r="397" spans="1:5">
      <c r="A397" s="421" t="s">
        <v>388</v>
      </c>
      <c r="B397" s="412">
        <f>VLOOKUP(B382,'BANG LUONG 1'!$B$4:$AJ$55,18,0)</f>
        <v>0</v>
      </c>
      <c r="C397" s="421">
        <v>15</v>
      </c>
      <c r="D397" s="41">
        <f>(B390/26*B397)*3</f>
        <v>0</v>
      </c>
    </row>
    <row r="398" spans="1:5">
      <c r="A398" s="421" t="s">
        <v>533</v>
      </c>
      <c r="B398" s="412">
        <f>VLOOKUP(B382,'BANG LUONG 1'!$B$4:$AJ$55,19,0)</f>
        <v>4583509.615384615</v>
      </c>
      <c r="C398" s="183">
        <v>16</v>
      </c>
      <c r="D398" s="185">
        <f>B392+D394+D395+D393+D397+D396</f>
        <v>4583509.615384615</v>
      </c>
      <c r="E398" s="108"/>
    </row>
    <row r="399" spans="1:5">
      <c r="A399" s="421" t="s">
        <v>535</v>
      </c>
      <c r="B399" s="412">
        <f>VLOOKUP(B382,'BANG LUONG 1'!$B$4:$AJ$55,20,0)</f>
        <v>-4583509.615384615</v>
      </c>
      <c r="C399" s="421">
        <v>17</v>
      </c>
      <c r="D399" s="41"/>
    </row>
    <row r="400" spans="1:5">
      <c r="A400" s="421" t="s">
        <v>370</v>
      </c>
      <c r="B400" s="412">
        <f>VLOOKUP(B382,'BANG LUONG 1'!$B$4:$AJ$55,22,0)</f>
        <v>264825</v>
      </c>
      <c r="C400" s="421">
        <v>18</v>
      </c>
      <c r="D400" s="41"/>
    </row>
    <row r="401" spans="1:5">
      <c r="A401" s="421" t="s">
        <v>371</v>
      </c>
      <c r="B401" s="412">
        <f>VLOOKUP(B382,'BANG LUONG 1'!$B$4:$AJ$55,23,0)</f>
        <v>300000</v>
      </c>
      <c r="C401" s="421">
        <v>19</v>
      </c>
      <c r="D401" s="41"/>
    </row>
    <row r="402" spans="1:5">
      <c r="A402" s="421" t="s">
        <v>560</v>
      </c>
      <c r="B402" s="412">
        <f>VLOOKUP(B382,'BANG LUONG 1'!$B$4:$AJ$55,24,0)</f>
        <v>0</v>
      </c>
      <c r="C402" s="421">
        <v>22</v>
      </c>
      <c r="D402" s="41"/>
    </row>
    <row r="403" spans="1:5">
      <c r="A403" s="183" t="s">
        <v>237</v>
      </c>
      <c r="B403" s="415">
        <f>VLOOKUP(B382,'BANG LUONG 1'!$B$4:$AJ$55,26,0)</f>
        <v>564825</v>
      </c>
      <c r="C403" s="421">
        <v>24</v>
      </c>
      <c r="D403" s="41"/>
    </row>
    <row r="404" spans="1:5">
      <c r="A404" s="421" t="s">
        <v>545</v>
      </c>
      <c r="B404" s="412">
        <f>VLOOKUP(B382,'BANG LUONG 1'!$B$4:$AJ$55,27,0)</f>
        <v>4000000</v>
      </c>
      <c r="C404" s="421">
        <v>25</v>
      </c>
      <c r="D404" s="41"/>
    </row>
    <row r="405" spans="1:5">
      <c r="A405" s="421" t="s">
        <v>544</v>
      </c>
      <c r="B405" s="412">
        <f>VLOOKUP(B382,'BANG LUONG 1'!$B$4:$AJ$55,28,0)</f>
        <v>480585</v>
      </c>
      <c r="C405" s="421">
        <v>26</v>
      </c>
      <c r="D405" s="41"/>
    </row>
    <row r="406" spans="1:5">
      <c r="A406" s="421" t="s">
        <v>713</v>
      </c>
      <c r="B406" s="415">
        <f>VLOOKUP(B382,'BANG LUONG 1'!$B$4:$AJ$55,32,0)</f>
        <v>0</v>
      </c>
      <c r="C406" s="421"/>
      <c r="D406" s="41"/>
    </row>
    <row r="407" spans="1:5">
      <c r="A407" s="421" t="s">
        <v>714</v>
      </c>
      <c r="B407" s="415">
        <f>VLOOKUP(B382,'BANG LUONG 1'!$B$4:$AJ$55,33,0)</f>
        <v>0</v>
      </c>
      <c r="C407" s="421"/>
      <c r="D407" s="41"/>
    </row>
    <row r="408" spans="1:5">
      <c r="A408" s="183" t="s">
        <v>707</v>
      </c>
      <c r="B408" s="415">
        <f>VLOOKUP(B382,'BANG LUONG 1'!$B$4:$AJ$55,30,0)</f>
        <v>0</v>
      </c>
      <c r="C408" s="421"/>
      <c r="D408" s="41"/>
      <c r="E408" s="108" t="str">
        <f>B383</f>
        <v>Thạch Giàu</v>
      </c>
    </row>
    <row r="409" spans="1:5">
      <c r="A409" s="183" t="s">
        <v>546</v>
      </c>
      <c r="B409" s="415">
        <f>VLOOKUP(B382,'BANG LUONG 1'!$B$4:$AJ$55,35,0)</f>
        <v>-3916000</v>
      </c>
      <c r="C409" s="421"/>
      <c r="D409" s="41"/>
    </row>
    <row r="410" spans="1:5">
      <c r="A410" s="184" t="s">
        <v>549</v>
      </c>
      <c r="B410" s="424">
        <f>'BANG LUONG 1'!$P$2</f>
        <v>43702</v>
      </c>
    </row>
    <row r="411" spans="1:5">
      <c r="A411" s="183" t="s">
        <v>1</v>
      </c>
      <c r="B411" s="185" t="s">
        <v>137</v>
      </c>
      <c r="C411" s="421">
        <v>1</v>
      </c>
      <c r="D411" s="41"/>
    </row>
    <row r="412" spans="1:5">
      <c r="A412" s="183" t="s">
        <v>2</v>
      </c>
      <c r="B412" s="185" t="str">
        <f>VLOOKUP($B411,'BANG LUONG 1'!$B$5:$AB$50,C412,0)</f>
        <v>Trần Thanh Hậu</v>
      </c>
      <c r="C412" s="421">
        <v>2</v>
      </c>
      <c r="D412" s="41"/>
    </row>
    <row r="413" spans="1:5">
      <c r="A413" s="421" t="s">
        <v>3</v>
      </c>
      <c r="B413" s="41" t="str">
        <f>VLOOKUP($B411,'BANG LUONG 1'!$B$5:$AJ$50,C413,0)</f>
        <v>Lái xe cơ giới</v>
      </c>
      <c r="C413" s="421">
        <v>3</v>
      </c>
      <c r="D413" s="41"/>
    </row>
    <row r="414" spans="1:5">
      <c r="A414" s="421" t="s">
        <v>376</v>
      </c>
      <c r="B414" s="410">
        <f>VLOOKUP($B411,'BANG LUONG 1'!$B$4:$AJ$55,4,0)</f>
        <v>41852</v>
      </c>
      <c r="C414" s="421">
        <v>4</v>
      </c>
      <c r="D414" s="41"/>
    </row>
    <row r="415" spans="1:5">
      <c r="A415" s="421" t="s">
        <v>698</v>
      </c>
      <c r="B415" s="411">
        <f>VLOOKUP(B411,'BANG LUONG 1'!$B$4:$AJ$55,6,0)</f>
        <v>0.05</v>
      </c>
      <c r="C415" s="421">
        <v>5</v>
      </c>
      <c r="D415" s="41"/>
    </row>
    <row r="416" spans="1:5">
      <c r="A416" s="421" t="s">
        <v>229</v>
      </c>
      <c r="B416" s="412">
        <f>'thang luong moi'!$F$5</f>
        <v>4012500</v>
      </c>
      <c r="C416" s="421">
        <v>6</v>
      </c>
      <c r="D416" s="41"/>
    </row>
    <row r="417" spans="1:5">
      <c r="A417" s="421" t="s">
        <v>217</v>
      </c>
      <c r="B417" s="412" t="str">
        <f>VLOOKUP(B411,'BANG LUONG 1'!$B$4:$AJ$55,8,0)</f>
        <v>B.02</v>
      </c>
      <c r="C417" s="421">
        <v>7</v>
      </c>
      <c r="D417" s="41"/>
    </row>
    <row r="418" spans="1:5">
      <c r="A418" s="421" t="s">
        <v>230</v>
      </c>
      <c r="B418" s="412">
        <f>VLOOKUP(B411,'BANG LUONG 1'!$B$4:$AJ$55,9,0)</f>
        <v>1</v>
      </c>
      <c r="C418" s="421">
        <v>8</v>
      </c>
      <c r="D418" s="41"/>
    </row>
    <row r="419" spans="1:5">
      <c r="A419" s="421" t="s">
        <v>538</v>
      </c>
      <c r="B419" s="412">
        <f>VLOOKUP(B411,'BANG LUONG 1'!$B$4:$AJ$55,11,0)</f>
        <v>4413750</v>
      </c>
      <c r="C419" s="421">
        <v>9</v>
      </c>
      <c r="D419" s="41"/>
    </row>
    <row r="420" spans="1:5">
      <c r="A420" s="421" t="s">
        <v>354</v>
      </c>
      <c r="B420" s="412">
        <f>VLOOKUP(B411,'BANG LUONG 1'!$B$4:$AJ$55,12,0)</f>
        <v>27</v>
      </c>
      <c r="C420" s="421">
        <v>10</v>
      </c>
      <c r="D420" s="41"/>
    </row>
    <row r="421" spans="1:5">
      <c r="A421" s="421" t="s">
        <v>534</v>
      </c>
      <c r="B421" s="412">
        <f>VLOOKUP(B411,'BANG LUONG 1'!$B$4:$AJ$55,13,0)</f>
        <v>4583509.615384615</v>
      </c>
      <c r="C421" s="421">
        <v>11</v>
      </c>
      <c r="D421" s="41"/>
    </row>
    <row r="422" spans="1:5">
      <c r="A422" s="421" t="s">
        <v>592</v>
      </c>
      <c r="B422" s="412">
        <f>VLOOKUP(B411,'BANG LUONG 1'!$B$4:$AJ$55,14,0)</f>
        <v>0</v>
      </c>
      <c r="C422" s="421">
        <v>12</v>
      </c>
      <c r="D422" s="41">
        <f>B419/26*B422</f>
        <v>0</v>
      </c>
    </row>
    <row r="423" spans="1:5">
      <c r="A423" s="421" t="s">
        <v>357</v>
      </c>
      <c r="B423" s="412">
        <f>VLOOKUP(B411,'BANG LUONG 1'!$B$4:$AJ$55,15,0)</f>
        <v>0</v>
      </c>
      <c r="C423" s="421">
        <v>13</v>
      </c>
      <c r="D423" s="41">
        <f>B419/26/8*1.5*B423</f>
        <v>0</v>
      </c>
    </row>
    <row r="424" spans="1:5">
      <c r="A424" s="421" t="s">
        <v>387</v>
      </c>
      <c r="B424" s="412">
        <f>VLOOKUP(B411,'BANG LUONG 1'!$B$4:$AJ$55,16,0)</f>
        <v>0</v>
      </c>
      <c r="C424" s="421">
        <v>14</v>
      </c>
      <c r="D424" s="41">
        <f>B419/26/8*2*B424</f>
        <v>0</v>
      </c>
    </row>
    <row r="425" spans="1:5">
      <c r="A425" s="421" t="s">
        <v>593</v>
      </c>
      <c r="B425" s="412">
        <f>VLOOKUP(B411,'BANG LUONG 1'!$B$4:$AJ$55,17,0)</f>
        <v>0</v>
      </c>
      <c r="C425" s="421"/>
      <c r="D425" s="41">
        <f>(B419/26)*B425</f>
        <v>0</v>
      </c>
    </row>
    <row r="426" spans="1:5">
      <c r="A426" s="421" t="s">
        <v>388</v>
      </c>
      <c r="B426" s="412">
        <f>VLOOKUP(B411,'BANG LUONG 1'!$B$4:$AJ$55,18,0)</f>
        <v>0</v>
      </c>
      <c r="C426" s="421">
        <v>15</v>
      </c>
      <c r="D426" s="41">
        <f>(B419/26*B426)*3</f>
        <v>0</v>
      </c>
    </row>
    <row r="427" spans="1:5">
      <c r="A427" s="421" t="s">
        <v>533</v>
      </c>
      <c r="B427" s="412">
        <f>VLOOKUP(B411,'BANG LUONG 1'!$B$4:$AJ$55,19,0)</f>
        <v>4583509.615384615</v>
      </c>
      <c r="C427" s="183">
        <v>16</v>
      </c>
      <c r="D427" s="185">
        <f>B421+D423+D424+D422+D426+D425</f>
        <v>4583509.615384615</v>
      </c>
      <c r="E427" s="108"/>
    </row>
    <row r="428" spans="1:5">
      <c r="A428" s="421" t="s">
        <v>535</v>
      </c>
      <c r="B428" s="412">
        <f>VLOOKUP(B411,'BANG LUONG 1'!$B$4:$AJ$55,20,0)</f>
        <v>-4583509.615384615</v>
      </c>
      <c r="C428" s="421">
        <v>17</v>
      </c>
      <c r="D428" s="41"/>
    </row>
    <row r="429" spans="1:5">
      <c r="A429" s="421" t="s">
        <v>370</v>
      </c>
      <c r="B429" s="412">
        <f>VLOOKUP(B411,'BANG LUONG 1'!$B$4:$AJ$55,22,0)</f>
        <v>220687.5</v>
      </c>
      <c r="C429" s="421">
        <v>18</v>
      </c>
      <c r="D429" s="41"/>
    </row>
    <row r="430" spans="1:5">
      <c r="A430" s="421" t="s">
        <v>371</v>
      </c>
      <c r="B430" s="412">
        <f>VLOOKUP(B411,'BANG LUONG 1'!$B$4:$AJ$55,23,0)</f>
        <v>300000</v>
      </c>
      <c r="C430" s="421">
        <v>19</v>
      </c>
      <c r="D430" s="41"/>
    </row>
    <row r="431" spans="1:5">
      <c r="A431" s="421" t="s">
        <v>560</v>
      </c>
      <c r="B431" s="412">
        <f>VLOOKUP(B411,'BANG LUONG 1'!$B$4:$AJ$55,24,0)</f>
        <v>0</v>
      </c>
      <c r="C431" s="421">
        <v>22</v>
      </c>
      <c r="D431" s="41"/>
    </row>
    <row r="432" spans="1:5">
      <c r="A432" s="183" t="s">
        <v>237</v>
      </c>
      <c r="B432" s="415">
        <f>VLOOKUP(B411,'BANG LUONG 1'!$B$4:$AJ$55,26,0)</f>
        <v>520687.5</v>
      </c>
      <c r="C432" s="421">
        <v>24</v>
      </c>
      <c r="D432" s="41"/>
    </row>
    <row r="433" spans="1:5">
      <c r="A433" s="421" t="s">
        <v>545</v>
      </c>
      <c r="B433" s="412">
        <f>VLOOKUP(B411,'BANG LUONG 1'!$B$4:$AJ$55,27,0)</f>
        <v>3000000</v>
      </c>
      <c r="C433" s="421">
        <v>25</v>
      </c>
      <c r="D433" s="41"/>
    </row>
    <row r="434" spans="1:5">
      <c r="A434" s="421" t="s">
        <v>544</v>
      </c>
      <c r="B434" s="412">
        <f>VLOOKUP(B411,'BANG LUONG 1'!$B$4:$AJ$55,28,0)</f>
        <v>480585</v>
      </c>
      <c r="C434" s="421">
        <v>26</v>
      </c>
      <c r="D434" s="41"/>
    </row>
    <row r="435" spans="1:5">
      <c r="A435" s="421" t="s">
        <v>713</v>
      </c>
      <c r="B435" s="415">
        <f>VLOOKUP(B411,'BANG LUONG 1'!$B$4:$AJ$55,32,0)</f>
        <v>0</v>
      </c>
      <c r="C435" s="421"/>
      <c r="D435" s="41"/>
    </row>
    <row r="436" spans="1:5">
      <c r="A436" s="421" t="s">
        <v>714</v>
      </c>
      <c r="B436" s="415">
        <f>VLOOKUP(B411,'BANG LUONG 1'!$B$4:$AJ$55,33,0)</f>
        <v>0</v>
      </c>
      <c r="C436" s="421"/>
      <c r="D436" s="41"/>
    </row>
    <row r="437" spans="1:5">
      <c r="A437" s="183" t="s">
        <v>707</v>
      </c>
      <c r="B437" s="415">
        <f>VLOOKUP(B411,'BANG LUONG 1'!$B$4:$AJ$55,30,0)</f>
        <v>0</v>
      </c>
      <c r="C437" s="421"/>
      <c r="D437" s="41"/>
      <c r="E437" s="108" t="str">
        <f>B412</f>
        <v>Trần Thanh Hậu</v>
      </c>
    </row>
    <row r="438" spans="1:5">
      <c r="A438" s="183" t="s">
        <v>546</v>
      </c>
      <c r="B438" s="415">
        <f>VLOOKUP(B411,'BANG LUONG 1'!$B$4:$AJ$55,35,0)</f>
        <v>-2960000</v>
      </c>
      <c r="C438" s="421"/>
      <c r="D438" s="41"/>
    </row>
    <row r="439" spans="1:5">
      <c r="A439" s="184" t="s">
        <v>549</v>
      </c>
      <c r="B439" s="424">
        <f>'BANG LUONG 1'!$P$2</f>
        <v>43702</v>
      </c>
    </row>
    <row r="440" spans="1:5">
      <c r="A440" s="183" t="s">
        <v>1</v>
      </c>
      <c r="B440" s="185" t="s">
        <v>138</v>
      </c>
      <c r="C440" s="421">
        <v>1</v>
      </c>
      <c r="D440" s="41"/>
    </row>
    <row r="441" spans="1:5">
      <c r="A441" s="183" t="s">
        <v>2</v>
      </c>
      <c r="B441" s="185" t="str">
        <f>VLOOKUP($B440,'BANG LUONG 1'!$B$5:$AB$50,C441,0)</f>
        <v xml:space="preserve">Trần Văn Thứ </v>
      </c>
      <c r="C441" s="421">
        <v>2</v>
      </c>
      <c r="D441" s="41"/>
    </row>
    <row r="442" spans="1:5">
      <c r="A442" s="421" t="s">
        <v>3</v>
      </c>
      <c r="B442" s="41" t="str">
        <f>VLOOKUP($B440,'BANG LUONG 1'!$B$5:$AJ$50,C442,0)</f>
        <v>Lái xe cơ giới</v>
      </c>
      <c r="C442" s="421">
        <v>3</v>
      </c>
      <c r="D442" s="41"/>
    </row>
    <row r="443" spans="1:5">
      <c r="A443" s="421" t="s">
        <v>376</v>
      </c>
      <c r="B443" s="410">
        <f>VLOOKUP($B440,'BANG LUONG 1'!$B$4:$AJ$55,4,0)</f>
        <v>42066</v>
      </c>
      <c r="C443" s="421">
        <v>4</v>
      </c>
      <c r="D443" s="41"/>
    </row>
    <row r="444" spans="1:5">
      <c r="A444" s="421" t="s">
        <v>698</v>
      </c>
      <c r="B444" s="411">
        <f>VLOOKUP(B440,'BANG LUONG 1'!$B$4:$AJ$55,6,0)</f>
        <v>0.04</v>
      </c>
      <c r="C444" s="421">
        <v>5</v>
      </c>
      <c r="D444" s="41"/>
    </row>
    <row r="445" spans="1:5">
      <c r="A445" s="421" t="s">
        <v>229</v>
      </c>
      <c r="B445" s="412">
        <f>'thang luong moi'!$F$5</f>
        <v>4012500</v>
      </c>
      <c r="C445" s="421">
        <v>6</v>
      </c>
      <c r="D445" s="41"/>
    </row>
    <row r="446" spans="1:5">
      <c r="A446" s="421" t="s">
        <v>217</v>
      </c>
      <c r="B446" s="412" t="str">
        <f>VLOOKUP(B440,'BANG LUONG 1'!$B$4:$AJ$55,8,0)</f>
        <v>B.02</v>
      </c>
      <c r="C446" s="421">
        <v>7</v>
      </c>
      <c r="D446" s="41"/>
    </row>
    <row r="447" spans="1:5">
      <c r="A447" s="421" t="s">
        <v>230</v>
      </c>
      <c r="B447" s="412">
        <f>VLOOKUP(B440,'BANG LUONG 1'!$B$4:$AJ$55,9,0)</f>
        <v>1</v>
      </c>
      <c r="C447" s="421">
        <v>8</v>
      </c>
      <c r="D447" s="41"/>
    </row>
    <row r="448" spans="1:5">
      <c r="A448" s="421" t="s">
        <v>538</v>
      </c>
      <c r="B448" s="412">
        <f>VLOOKUP(B440,'BANG LUONG 1'!$B$4:$AJ$55,11,0)</f>
        <v>4413750</v>
      </c>
      <c r="C448" s="421">
        <v>9</v>
      </c>
      <c r="D448" s="41"/>
    </row>
    <row r="449" spans="1:5">
      <c r="A449" s="421" t="s">
        <v>354</v>
      </c>
      <c r="B449" s="412">
        <f>VLOOKUP(B440,'BANG LUONG 1'!$B$4:$AJ$55,12,0)</f>
        <v>27</v>
      </c>
      <c r="C449" s="421">
        <v>10</v>
      </c>
      <c r="D449" s="41"/>
    </row>
    <row r="450" spans="1:5">
      <c r="A450" s="421" t="s">
        <v>534</v>
      </c>
      <c r="B450" s="412">
        <f>VLOOKUP(B440,'BANG LUONG 1'!$B$4:$AJ$55,13,0)</f>
        <v>4583509.615384615</v>
      </c>
      <c r="C450" s="421">
        <v>11</v>
      </c>
      <c r="D450" s="41"/>
    </row>
    <row r="451" spans="1:5">
      <c r="A451" s="421" t="s">
        <v>592</v>
      </c>
      <c r="B451" s="412">
        <f>VLOOKUP(B440,'BANG LUONG 1'!$B$4:$AJ$55,14,0)</f>
        <v>0</v>
      </c>
      <c r="C451" s="421">
        <v>12</v>
      </c>
      <c r="D451" s="41">
        <f>B448/26*B451</f>
        <v>0</v>
      </c>
    </row>
    <row r="452" spans="1:5">
      <c r="A452" s="421" t="s">
        <v>357</v>
      </c>
      <c r="B452" s="412">
        <f>VLOOKUP(B440,'BANG LUONG 1'!$B$4:$AJ$55,15,0)</f>
        <v>0</v>
      </c>
      <c r="C452" s="421">
        <v>13</v>
      </c>
      <c r="D452" s="41">
        <f>B448/26/8*1.5*B452</f>
        <v>0</v>
      </c>
    </row>
    <row r="453" spans="1:5">
      <c r="A453" s="421" t="s">
        <v>387</v>
      </c>
      <c r="B453" s="412">
        <f>VLOOKUP(B440,'BANG LUONG 1'!$B$4:$AJ$55,16,0)</f>
        <v>0</v>
      </c>
      <c r="C453" s="421">
        <v>14</v>
      </c>
      <c r="D453" s="41">
        <f>B448/26/8*2*B453</f>
        <v>0</v>
      </c>
    </row>
    <row r="454" spans="1:5">
      <c r="A454" s="421" t="s">
        <v>593</v>
      </c>
      <c r="B454" s="412">
        <f>VLOOKUP(B440,'BANG LUONG 1'!$B$4:$AJ$55,17,0)</f>
        <v>0</v>
      </c>
      <c r="C454" s="421"/>
      <c r="D454" s="41">
        <f>(B448/26)*B454</f>
        <v>0</v>
      </c>
    </row>
    <row r="455" spans="1:5">
      <c r="A455" s="421" t="s">
        <v>388</v>
      </c>
      <c r="B455" s="412">
        <f>VLOOKUP(B440,'BANG LUONG 1'!$B$4:$AJ$55,18,0)</f>
        <v>0</v>
      </c>
      <c r="C455" s="421">
        <v>15</v>
      </c>
      <c r="D455" s="41">
        <f>(B448/26*B455)*3</f>
        <v>0</v>
      </c>
    </row>
    <row r="456" spans="1:5">
      <c r="A456" s="421" t="s">
        <v>533</v>
      </c>
      <c r="B456" s="412">
        <f>VLOOKUP(B440,'BANG LUONG 1'!$B$4:$AJ$55,19,0)</f>
        <v>4583509.615384615</v>
      </c>
      <c r="C456" s="183">
        <v>16</v>
      </c>
      <c r="D456" s="185">
        <f>B450+D452+D453+D451+D455+D454</f>
        <v>4583509.615384615</v>
      </c>
      <c r="E456" s="108"/>
    </row>
    <row r="457" spans="1:5">
      <c r="A457" s="421" t="s">
        <v>535</v>
      </c>
      <c r="B457" s="412">
        <f>VLOOKUP(B440,'BANG LUONG 1'!$B$4:$AJ$55,20,0)</f>
        <v>-4583509.615384615</v>
      </c>
      <c r="C457" s="421">
        <v>17</v>
      </c>
      <c r="D457" s="41"/>
    </row>
    <row r="458" spans="1:5">
      <c r="A458" s="421" t="s">
        <v>370</v>
      </c>
      <c r="B458" s="412">
        <f>VLOOKUP(B440,'BANG LUONG 1'!$B$4:$AJ$55,22,0)</f>
        <v>176550</v>
      </c>
      <c r="C458" s="421">
        <v>18</v>
      </c>
      <c r="D458" s="41"/>
    </row>
    <row r="459" spans="1:5">
      <c r="A459" s="421" t="s">
        <v>371</v>
      </c>
      <c r="B459" s="412">
        <f>VLOOKUP(B440,'BANG LUONG 1'!$B$4:$AJ$55,23,0)</f>
        <v>300000</v>
      </c>
      <c r="C459" s="421">
        <v>19</v>
      </c>
      <c r="D459" s="41"/>
    </row>
    <row r="460" spans="1:5">
      <c r="A460" s="421" t="s">
        <v>560</v>
      </c>
      <c r="B460" s="412">
        <f>VLOOKUP(B440,'BANG LUONG 1'!$B$4:$AJ$55,24,0)</f>
        <v>0</v>
      </c>
      <c r="C460" s="421">
        <v>22</v>
      </c>
      <c r="D460" s="41"/>
    </row>
    <row r="461" spans="1:5">
      <c r="A461" s="183" t="s">
        <v>237</v>
      </c>
      <c r="B461" s="415">
        <f>VLOOKUP(B440,'BANG LUONG 1'!$B$4:$AJ$55,26,0)</f>
        <v>476550</v>
      </c>
      <c r="C461" s="421">
        <v>24</v>
      </c>
      <c r="D461" s="41"/>
    </row>
    <row r="462" spans="1:5">
      <c r="A462" s="421" t="s">
        <v>545</v>
      </c>
      <c r="B462" s="412">
        <f>VLOOKUP(B440,'BANG LUONG 1'!$B$4:$AJ$55,27,0)</f>
        <v>3000000</v>
      </c>
      <c r="C462" s="421">
        <v>25</v>
      </c>
      <c r="D462" s="41"/>
    </row>
    <row r="463" spans="1:5">
      <c r="A463" s="421" t="s">
        <v>544</v>
      </c>
      <c r="B463" s="412">
        <f>VLOOKUP(B440,'BANG LUONG 1'!$B$4:$AJ$55,28,0)</f>
        <v>480585</v>
      </c>
      <c r="C463" s="421">
        <v>26</v>
      </c>
      <c r="D463" s="41"/>
    </row>
    <row r="464" spans="1:5">
      <c r="A464" s="421" t="s">
        <v>713</v>
      </c>
      <c r="B464" s="415">
        <f>VLOOKUP(B440,'BANG LUONG 1'!$B$4:$AJ$55,32,0)</f>
        <v>0</v>
      </c>
      <c r="C464" s="421"/>
      <c r="D464" s="41"/>
    </row>
    <row r="465" spans="1:5">
      <c r="A465" s="421" t="s">
        <v>714</v>
      </c>
      <c r="B465" s="415">
        <f>VLOOKUP(B440,'BANG LUONG 1'!$B$4:$AJ$55,33,0)</f>
        <v>0</v>
      </c>
      <c r="C465" s="421"/>
      <c r="D465" s="41"/>
    </row>
    <row r="466" spans="1:5">
      <c r="A466" s="183" t="s">
        <v>707</v>
      </c>
      <c r="B466" s="415">
        <f>VLOOKUP(B440,'BANG LUONG 1'!$B$4:$AJ$55,30,0)</f>
        <v>0</v>
      </c>
      <c r="C466" s="421"/>
      <c r="D466" s="41"/>
      <c r="E466" s="108" t="str">
        <f>B441</f>
        <v xml:space="preserve">Trần Văn Thứ </v>
      </c>
    </row>
    <row r="467" spans="1:5">
      <c r="A467" s="183" t="s">
        <v>546</v>
      </c>
      <c r="B467" s="415">
        <f>VLOOKUP(B440,'BANG LUONG 1'!$B$4:$AJ$55,35,0)</f>
        <v>-3004000</v>
      </c>
      <c r="C467" s="421"/>
      <c r="D467" s="41"/>
    </row>
    <row r="468" spans="1:5">
      <c r="A468" s="184" t="s">
        <v>549</v>
      </c>
      <c r="B468" s="424">
        <f>'BANG LUONG 1'!$P$2</f>
        <v>43702</v>
      </c>
    </row>
    <row r="469" spans="1:5">
      <c r="A469" s="183" t="s">
        <v>1</v>
      </c>
      <c r="B469" s="185" t="s">
        <v>139</v>
      </c>
      <c r="C469" s="421">
        <v>1</v>
      </c>
      <c r="D469" s="41"/>
    </row>
    <row r="470" spans="1:5">
      <c r="A470" s="183" t="s">
        <v>2</v>
      </c>
      <c r="B470" s="185" t="str">
        <f>VLOOKUP($B469,'BANG LUONG 1'!$B$5:$AB$50,C470,0)</f>
        <v>Lê Tấn Phát</v>
      </c>
      <c r="C470" s="421">
        <v>2</v>
      </c>
      <c r="D470" s="41"/>
    </row>
    <row r="471" spans="1:5">
      <c r="A471" s="421" t="s">
        <v>3</v>
      </c>
      <c r="B471" s="41" t="str">
        <f>VLOOKUP($B469,'BANG LUONG 1'!$B$5:$AJ$50,C471,0)</f>
        <v>Lái xe cơ giới</v>
      </c>
      <c r="C471" s="421">
        <v>3</v>
      </c>
      <c r="D471" s="41"/>
    </row>
    <row r="472" spans="1:5">
      <c r="A472" s="421" t="s">
        <v>376</v>
      </c>
      <c r="B472" s="410">
        <f>VLOOKUP($B469,'BANG LUONG 1'!$B$4:$AJ$55,4,0)</f>
        <v>37257</v>
      </c>
      <c r="C472" s="421">
        <v>4</v>
      </c>
      <c r="D472" s="41"/>
    </row>
    <row r="473" spans="1:5">
      <c r="A473" s="421" t="s">
        <v>698</v>
      </c>
      <c r="B473" s="411">
        <f>VLOOKUP(B469,'BANG LUONG 1'!$B$4:$AJ$55,6,0)</f>
        <v>0.17</v>
      </c>
      <c r="C473" s="421">
        <v>5</v>
      </c>
      <c r="D473" s="41"/>
    </row>
    <row r="474" spans="1:5">
      <c r="A474" s="421" t="s">
        <v>229</v>
      </c>
      <c r="B474" s="412">
        <f>'thang luong moi'!$F$5</f>
        <v>4012500</v>
      </c>
      <c r="C474" s="421">
        <v>6</v>
      </c>
      <c r="D474" s="41"/>
    </row>
    <row r="475" spans="1:5">
      <c r="A475" s="421" t="s">
        <v>217</v>
      </c>
      <c r="B475" s="412" t="str">
        <f>VLOOKUP(B469,'BANG LUONG 1'!$B$4:$AJ$55,8,0)</f>
        <v>B.02</v>
      </c>
      <c r="C475" s="421">
        <v>7</v>
      </c>
      <c r="D475" s="41"/>
    </row>
    <row r="476" spans="1:5">
      <c r="A476" s="421" t="s">
        <v>230</v>
      </c>
      <c r="B476" s="412">
        <f>VLOOKUP(B469,'BANG LUONG 1'!$B$4:$AJ$55,9,0)</f>
        <v>2</v>
      </c>
      <c r="C476" s="421">
        <v>8</v>
      </c>
      <c r="D476" s="41"/>
    </row>
    <row r="477" spans="1:5">
      <c r="A477" s="421" t="s">
        <v>538</v>
      </c>
      <c r="B477" s="412">
        <f>VLOOKUP(B469,'BANG LUONG 1'!$B$4:$AJ$55,11,0)</f>
        <v>4694625.0000000009</v>
      </c>
      <c r="C477" s="421">
        <v>9</v>
      </c>
      <c r="D477" s="41"/>
    </row>
    <row r="478" spans="1:5">
      <c r="A478" s="421" t="s">
        <v>354</v>
      </c>
      <c r="B478" s="412">
        <f>VLOOKUP(B469,'BANG LUONG 1'!$B$4:$AJ$55,12,0)</f>
        <v>27</v>
      </c>
      <c r="C478" s="421">
        <v>10</v>
      </c>
      <c r="D478" s="41"/>
    </row>
    <row r="479" spans="1:5">
      <c r="A479" s="421" t="s">
        <v>534</v>
      </c>
      <c r="B479" s="412">
        <f>VLOOKUP(B469,'BANG LUONG 1'!$B$4:$AJ$55,13,0)</f>
        <v>4875187.5000000009</v>
      </c>
      <c r="C479" s="421">
        <v>11</v>
      </c>
      <c r="D479" s="41"/>
    </row>
    <row r="480" spans="1:5">
      <c r="A480" s="421" t="s">
        <v>592</v>
      </c>
      <c r="B480" s="412">
        <f>VLOOKUP(B469,'BANG LUONG 1'!$B$4:$AJ$55,14,0)</f>
        <v>0</v>
      </c>
      <c r="C480" s="421">
        <v>12</v>
      </c>
      <c r="D480" s="41">
        <f>B477/26*B480</f>
        <v>0</v>
      </c>
    </row>
    <row r="481" spans="1:5">
      <c r="A481" s="421" t="s">
        <v>357</v>
      </c>
      <c r="B481" s="412">
        <f>VLOOKUP(B469,'BANG LUONG 1'!$B$4:$AJ$55,15,0)</f>
        <v>0</v>
      </c>
      <c r="C481" s="421">
        <v>13</v>
      </c>
      <c r="D481" s="41">
        <f>B477/26/8*1.5*B481</f>
        <v>0</v>
      </c>
    </row>
    <row r="482" spans="1:5">
      <c r="A482" s="421" t="s">
        <v>387</v>
      </c>
      <c r="B482" s="412">
        <f>VLOOKUP(B469,'BANG LUONG 1'!$B$4:$AJ$55,16,0)</f>
        <v>0</v>
      </c>
      <c r="C482" s="421">
        <v>14</v>
      </c>
      <c r="D482" s="41">
        <f>B477/26/8*2*B482</f>
        <v>0</v>
      </c>
    </row>
    <row r="483" spans="1:5">
      <c r="A483" s="421" t="s">
        <v>593</v>
      </c>
      <c r="B483" s="412">
        <f>VLOOKUP(B469,'BANG LUONG 1'!$B$4:$AJ$55,17,0)</f>
        <v>0</v>
      </c>
      <c r="C483" s="421"/>
      <c r="D483" s="41">
        <f>(B477/26)*B483</f>
        <v>0</v>
      </c>
    </row>
    <row r="484" spans="1:5">
      <c r="A484" s="421" t="s">
        <v>388</v>
      </c>
      <c r="B484" s="412">
        <f>VLOOKUP(B469,'BANG LUONG 1'!$B$4:$AJ$55,18,0)</f>
        <v>0</v>
      </c>
      <c r="C484" s="421">
        <v>15</v>
      </c>
      <c r="D484" s="41">
        <f>(B477/26*B484)*3</f>
        <v>0</v>
      </c>
    </row>
    <row r="485" spans="1:5">
      <c r="A485" s="421" t="s">
        <v>533</v>
      </c>
      <c r="B485" s="412">
        <f>VLOOKUP(B469,'BANG LUONG 1'!$B$4:$AJ$55,19,0)</f>
        <v>4875187.5000000009</v>
      </c>
      <c r="C485" s="183">
        <v>16</v>
      </c>
      <c r="D485" s="185">
        <f>B479+D481+D482+D480+D484+D483</f>
        <v>4875187.5000000009</v>
      </c>
      <c r="E485" s="108"/>
    </row>
    <row r="486" spans="1:5">
      <c r="A486" s="421" t="s">
        <v>535</v>
      </c>
      <c r="B486" s="412">
        <f>VLOOKUP(B469,'BANG LUONG 1'!$B$4:$AJ$55,20,0)</f>
        <v>-4875187.5000000009</v>
      </c>
      <c r="C486" s="421">
        <v>17</v>
      </c>
      <c r="D486" s="41"/>
    </row>
    <row r="487" spans="1:5">
      <c r="A487" s="421" t="s">
        <v>370</v>
      </c>
      <c r="B487" s="412">
        <f>VLOOKUP(B469,'BANG LUONG 1'!$B$4:$AJ$55,22,0)</f>
        <v>798086.25000000023</v>
      </c>
      <c r="C487" s="421">
        <v>18</v>
      </c>
      <c r="D487" s="41"/>
    </row>
    <row r="488" spans="1:5">
      <c r="A488" s="421" t="s">
        <v>371</v>
      </c>
      <c r="B488" s="412">
        <f>VLOOKUP(B469,'BANG LUONG 1'!$B$4:$AJ$55,23,0)</f>
        <v>300000</v>
      </c>
      <c r="C488" s="421">
        <v>19</v>
      </c>
      <c r="D488" s="41"/>
    </row>
    <row r="489" spans="1:5">
      <c r="A489" s="421" t="s">
        <v>560</v>
      </c>
      <c r="B489" s="412">
        <f>VLOOKUP(B469,'BANG LUONG 1'!$B$4:$AJ$55,24,0)</f>
        <v>0</v>
      </c>
      <c r="C489" s="421">
        <v>22</v>
      </c>
      <c r="D489" s="41"/>
    </row>
    <row r="490" spans="1:5">
      <c r="A490" s="183" t="s">
        <v>237</v>
      </c>
      <c r="B490" s="415">
        <f>VLOOKUP(B469,'BANG LUONG 1'!$B$4:$AJ$55,26,0)</f>
        <v>1098086.25</v>
      </c>
      <c r="C490" s="421">
        <v>24</v>
      </c>
      <c r="D490" s="41"/>
    </row>
    <row r="491" spans="1:5">
      <c r="A491" s="421" t="s">
        <v>545</v>
      </c>
      <c r="B491" s="412">
        <f>VLOOKUP(B469,'BANG LUONG 1'!$B$4:$AJ$55,27,0)</f>
        <v>0</v>
      </c>
      <c r="C491" s="421">
        <v>25</v>
      </c>
      <c r="D491" s="41"/>
    </row>
    <row r="492" spans="1:5">
      <c r="A492" s="421" t="s">
        <v>544</v>
      </c>
      <c r="B492" s="412">
        <f>VLOOKUP(B469,'BANG LUONG 1'!$B$4:$AJ$55,28,0)</f>
        <v>480585</v>
      </c>
      <c r="C492" s="421">
        <v>26</v>
      </c>
      <c r="D492" s="41"/>
    </row>
    <row r="493" spans="1:5">
      <c r="A493" s="421" t="s">
        <v>713</v>
      </c>
      <c r="B493" s="415">
        <f>VLOOKUP(B469,'BANG LUONG 1'!$B$4:$AJ$55,32,0)</f>
        <v>0</v>
      </c>
      <c r="C493" s="421"/>
      <c r="D493" s="41"/>
    </row>
    <row r="494" spans="1:5">
      <c r="A494" s="421" t="s">
        <v>714</v>
      </c>
      <c r="B494" s="415">
        <f>VLOOKUP(B469,'BANG LUONG 1'!$B$4:$AJ$55,33,0)</f>
        <v>0</v>
      </c>
      <c r="C494" s="421"/>
      <c r="D494" s="41"/>
    </row>
    <row r="495" spans="1:5">
      <c r="A495" s="183" t="s">
        <v>707</v>
      </c>
      <c r="B495" s="415">
        <f>VLOOKUP(B469,'BANG LUONG 1'!$B$4:$AJ$55,30,0)</f>
        <v>0</v>
      </c>
      <c r="C495" s="421"/>
      <c r="D495" s="41"/>
      <c r="E495" s="108" t="str">
        <f>B470</f>
        <v>Lê Tấn Phát</v>
      </c>
    </row>
    <row r="496" spans="1:5">
      <c r="A496" s="183" t="s">
        <v>546</v>
      </c>
      <c r="B496" s="415">
        <f>VLOOKUP(B469,'BANG LUONG 1'!$B$4:$AJ$55,35,0)</f>
        <v>618000</v>
      </c>
      <c r="C496" s="421"/>
      <c r="D496" s="41"/>
    </row>
    <row r="497" spans="1:4">
      <c r="A497" s="184" t="s">
        <v>549</v>
      </c>
      <c r="B497" s="424">
        <f>'BANG LUONG 1'!$P$2</f>
        <v>43702</v>
      </c>
    </row>
    <row r="498" spans="1:4">
      <c r="A498" s="183" t="s">
        <v>1</v>
      </c>
      <c r="B498" s="185" t="s">
        <v>140</v>
      </c>
      <c r="C498" s="421">
        <v>1</v>
      </c>
      <c r="D498" s="41"/>
    </row>
    <row r="499" spans="1:4">
      <c r="A499" s="183" t="s">
        <v>2</v>
      </c>
      <c r="B499" s="185" t="str">
        <f>VLOOKUP($B498,'BANG LUONG 1'!$B$5:$AB$50,C499,0)</f>
        <v>Quách Văn Chánh</v>
      </c>
      <c r="C499" s="421">
        <v>2</v>
      </c>
      <c r="D499" s="41"/>
    </row>
    <row r="500" spans="1:4">
      <c r="A500" s="421" t="s">
        <v>3</v>
      </c>
      <c r="B500" s="41" t="str">
        <f>VLOOKUP($B498,'BANG LUONG 1'!$B$5:$AJ$50,C500,0)</f>
        <v xml:space="preserve">Công nhân </v>
      </c>
      <c r="C500" s="421">
        <v>3</v>
      </c>
      <c r="D500" s="41"/>
    </row>
    <row r="501" spans="1:4">
      <c r="A501" s="421" t="s">
        <v>376</v>
      </c>
      <c r="B501" s="410">
        <f>VLOOKUP($B498,'BANG LUONG 1'!$B$4:$AJ$55,4,0)</f>
        <v>42078</v>
      </c>
      <c r="C501" s="421">
        <v>4</v>
      </c>
      <c r="D501" s="41"/>
    </row>
    <row r="502" spans="1:4">
      <c r="A502" s="421" t="s">
        <v>698</v>
      </c>
      <c r="B502" s="411">
        <f>VLOOKUP(B498,'BANG LUONG 1'!$B$4:$AJ$55,6,0)</f>
        <v>0.04</v>
      </c>
      <c r="C502" s="421">
        <v>5</v>
      </c>
      <c r="D502" s="41"/>
    </row>
    <row r="503" spans="1:4">
      <c r="A503" s="421" t="s">
        <v>229</v>
      </c>
      <c r="B503" s="412">
        <f>'thang luong moi'!$F$5</f>
        <v>4012500</v>
      </c>
      <c r="C503" s="421">
        <v>6</v>
      </c>
      <c r="D503" s="41"/>
    </row>
    <row r="504" spans="1:4">
      <c r="A504" s="421" t="s">
        <v>217</v>
      </c>
      <c r="B504" s="412" t="str">
        <f>VLOOKUP(B498,'BANG LUONG 1'!$B$4:$AJ$55,8,0)</f>
        <v>B.02</v>
      </c>
      <c r="C504" s="421">
        <v>7</v>
      </c>
      <c r="D504" s="41"/>
    </row>
    <row r="505" spans="1:4">
      <c r="A505" s="421" t="s">
        <v>230</v>
      </c>
      <c r="B505" s="412">
        <f>VLOOKUP(B498,'BANG LUONG 1'!$B$4:$AJ$55,9,0)</f>
        <v>1</v>
      </c>
      <c r="C505" s="421">
        <v>8</v>
      </c>
      <c r="D505" s="41"/>
    </row>
    <row r="506" spans="1:4">
      <c r="A506" s="421" t="s">
        <v>538</v>
      </c>
      <c r="B506" s="412">
        <f>VLOOKUP(B498,'BANG LUONG 1'!$B$4:$AJ$55,11,0)</f>
        <v>4413750</v>
      </c>
      <c r="C506" s="421">
        <v>9</v>
      </c>
      <c r="D506" s="41"/>
    </row>
    <row r="507" spans="1:4">
      <c r="A507" s="421" t="s">
        <v>354</v>
      </c>
      <c r="B507" s="412">
        <f>VLOOKUP(B498,'BANG LUONG 1'!$B$4:$AJ$55,12,0)</f>
        <v>27</v>
      </c>
      <c r="C507" s="421">
        <v>10</v>
      </c>
      <c r="D507" s="41"/>
    </row>
    <row r="508" spans="1:4">
      <c r="A508" s="421" t="s">
        <v>534</v>
      </c>
      <c r="B508" s="412">
        <f>VLOOKUP(B498,'BANG LUONG 1'!$B$4:$AJ$55,13,0)</f>
        <v>4583509.615384615</v>
      </c>
      <c r="C508" s="421">
        <v>11</v>
      </c>
      <c r="D508" s="41"/>
    </row>
    <row r="509" spans="1:4">
      <c r="A509" s="421" t="s">
        <v>592</v>
      </c>
      <c r="B509" s="412">
        <f>VLOOKUP(B498,'BANG LUONG 1'!$B$4:$AJ$55,14,0)</f>
        <v>0</v>
      </c>
      <c r="C509" s="421">
        <v>12</v>
      </c>
      <c r="D509" s="41">
        <f>B506/26*B509</f>
        <v>0</v>
      </c>
    </row>
    <row r="510" spans="1:4">
      <c r="A510" s="421" t="s">
        <v>357</v>
      </c>
      <c r="B510" s="412">
        <f>VLOOKUP(B498,'BANG LUONG 1'!$B$4:$AJ$55,15,0)</f>
        <v>0</v>
      </c>
      <c r="C510" s="421">
        <v>13</v>
      </c>
      <c r="D510" s="41">
        <f>B506/26/8*1.5*B510</f>
        <v>0</v>
      </c>
    </row>
    <row r="511" spans="1:4">
      <c r="A511" s="421" t="s">
        <v>387</v>
      </c>
      <c r="B511" s="412">
        <f>VLOOKUP(B498,'BANG LUONG 1'!$B$4:$AJ$55,16,0)</f>
        <v>0</v>
      </c>
      <c r="C511" s="421">
        <v>14</v>
      </c>
      <c r="D511" s="41">
        <f>B506/26/8*2*B511</f>
        <v>0</v>
      </c>
    </row>
    <row r="512" spans="1:4">
      <c r="A512" s="421" t="s">
        <v>593</v>
      </c>
      <c r="B512" s="412">
        <f>VLOOKUP(B498,'BANG LUONG 1'!$B$4:$AJ$55,17,0)</f>
        <v>0</v>
      </c>
      <c r="C512" s="421"/>
      <c r="D512" s="41">
        <f>(B506/26)*B512</f>
        <v>0</v>
      </c>
    </row>
    <row r="513" spans="1:5">
      <c r="A513" s="421" t="s">
        <v>388</v>
      </c>
      <c r="B513" s="412">
        <f>VLOOKUP(B498,'BANG LUONG 1'!$B$4:$AJ$55,18,0)</f>
        <v>0</v>
      </c>
      <c r="C513" s="421">
        <v>15</v>
      </c>
      <c r="D513" s="41">
        <f>(B506/26*B513)*3</f>
        <v>0</v>
      </c>
    </row>
    <row r="514" spans="1:5">
      <c r="A514" s="421" t="s">
        <v>533</v>
      </c>
      <c r="B514" s="412">
        <f>VLOOKUP(B498,'BANG LUONG 1'!$B$4:$AJ$55,19,0)</f>
        <v>4583509.615384615</v>
      </c>
      <c r="C514" s="183">
        <v>16</v>
      </c>
      <c r="D514" s="185">
        <f>B508+D510+D511+D509+D513+D512</f>
        <v>4583509.615384615</v>
      </c>
      <c r="E514" s="108"/>
    </row>
    <row r="515" spans="1:5">
      <c r="A515" s="421" t="s">
        <v>535</v>
      </c>
      <c r="B515" s="412">
        <f>VLOOKUP(B498,'BANG LUONG 1'!$B$4:$AJ$55,20,0)</f>
        <v>-4583509.615384615</v>
      </c>
      <c r="C515" s="421">
        <v>17</v>
      </c>
      <c r="D515" s="41"/>
    </row>
    <row r="516" spans="1:5">
      <c r="A516" s="421" t="s">
        <v>370</v>
      </c>
      <c r="B516" s="412">
        <f>VLOOKUP(B498,'BANG LUONG 1'!$B$4:$AJ$55,22,0)</f>
        <v>176550</v>
      </c>
      <c r="C516" s="421">
        <v>18</v>
      </c>
      <c r="D516" s="41"/>
    </row>
    <row r="517" spans="1:5">
      <c r="A517" s="421" t="s">
        <v>371</v>
      </c>
      <c r="B517" s="412">
        <f>VLOOKUP(B498,'BANG LUONG 1'!$B$4:$AJ$55,23,0)</f>
        <v>300000</v>
      </c>
      <c r="C517" s="421">
        <v>19</v>
      </c>
      <c r="D517" s="41"/>
    </row>
    <row r="518" spans="1:5">
      <c r="A518" s="421" t="s">
        <v>560</v>
      </c>
      <c r="B518" s="412">
        <f>VLOOKUP(B498,'BANG LUONG 1'!$B$4:$AJ$55,24,0)</f>
        <v>0</v>
      </c>
      <c r="C518" s="421">
        <v>22</v>
      </c>
      <c r="D518" s="41"/>
    </row>
    <row r="519" spans="1:5">
      <c r="A519" s="183" t="s">
        <v>237</v>
      </c>
      <c r="B519" s="415">
        <f>VLOOKUP(B498,'BANG LUONG 1'!$B$4:$AJ$55,26,0)</f>
        <v>476550</v>
      </c>
      <c r="C519" s="421">
        <v>24</v>
      </c>
      <c r="D519" s="41"/>
    </row>
    <row r="520" spans="1:5">
      <c r="A520" s="421" t="s">
        <v>545</v>
      </c>
      <c r="B520" s="412">
        <f>VLOOKUP(B498,'BANG LUONG 1'!$B$4:$AJ$55,27,0)</f>
        <v>3000000</v>
      </c>
      <c r="C520" s="421">
        <v>25</v>
      </c>
      <c r="D520" s="41"/>
    </row>
    <row r="521" spans="1:5">
      <c r="A521" s="421" t="s">
        <v>544</v>
      </c>
      <c r="B521" s="412">
        <f>VLOOKUP(B498,'BANG LUONG 1'!$B$4:$AJ$55,28,0)</f>
        <v>480585</v>
      </c>
      <c r="C521" s="421">
        <v>26</v>
      </c>
      <c r="D521" s="41"/>
    </row>
    <row r="522" spans="1:5">
      <c r="A522" s="421" t="s">
        <v>713</v>
      </c>
      <c r="B522" s="415">
        <f>VLOOKUP(B498,'BANG LUONG 1'!$B$4:$AJ$55,32,0)</f>
        <v>0</v>
      </c>
      <c r="C522" s="421"/>
      <c r="D522" s="41"/>
    </row>
    <row r="523" spans="1:5">
      <c r="A523" s="421" t="s">
        <v>714</v>
      </c>
      <c r="B523" s="415">
        <f>VLOOKUP(B498,'BANG LUONG 1'!$B$4:$AJ$55,33,0)</f>
        <v>0</v>
      </c>
      <c r="C523" s="421"/>
      <c r="D523" s="41"/>
    </row>
    <row r="524" spans="1:5">
      <c r="A524" s="183" t="s">
        <v>707</v>
      </c>
      <c r="B524" s="415">
        <f>VLOOKUP(B498,'BANG LUONG 1'!$B$4:$AJ$55,30,0)</f>
        <v>0</v>
      </c>
      <c r="C524" s="421"/>
      <c r="D524" s="41"/>
      <c r="E524" s="108" t="str">
        <f>B499</f>
        <v>Quách Văn Chánh</v>
      </c>
    </row>
    <row r="525" spans="1:5">
      <c r="A525" s="183" t="s">
        <v>546</v>
      </c>
      <c r="B525" s="415">
        <f>VLOOKUP(B498,'BANG LUONG 1'!$B$4:$AJ$55,35,0)</f>
        <v>-3004000</v>
      </c>
      <c r="C525" s="421"/>
      <c r="D525" s="41"/>
    </row>
    <row r="526" spans="1:5">
      <c r="A526" s="184" t="s">
        <v>549</v>
      </c>
      <c r="B526" s="424">
        <f>'BANG LUONG 1'!$P$2</f>
        <v>43702</v>
      </c>
    </row>
    <row r="527" spans="1:5">
      <c r="A527" s="183" t="s">
        <v>1</v>
      </c>
      <c r="B527" s="185" t="s">
        <v>141</v>
      </c>
      <c r="C527" s="421">
        <v>1</v>
      </c>
      <c r="D527" s="41"/>
    </row>
    <row r="528" spans="1:5">
      <c r="A528" s="183" t="s">
        <v>2</v>
      </c>
      <c r="B528" s="185" t="str">
        <f>VLOOKUP($B527,'BANG LUONG 1'!$B$5:$AB$50,C528,0)</f>
        <v>Trần văn Nguyện</v>
      </c>
      <c r="C528" s="421">
        <v>2</v>
      </c>
      <c r="D528" s="41"/>
    </row>
    <row r="529" spans="1:5">
      <c r="A529" s="421" t="s">
        <v>3</v>
      </c>
      <c r="B529" s="41" t="str">
        <f>VLOOKUP($B527,'BANG LUONG 1'!$B$5:$AJ$50,C529,0)</f>
        <v>Công nhân  (TX )</v>
      </c>
      <c r="C529" s="421">
        <v>3</v>
      </c>
      <c r="D529" s="41"/>
    </row>
    <row r="530" spans="1:5">
      <c r="A530" s="421" t="s">
        <v>376</v>
      </c>
      <c r="B530" s="410">
        <f>VLOOKUP($B527,'BANG LUONG 1'!$B$4:$AJ$55,4,0)</f>
        <v>42522</v>
      </c>
      <c r="C530" s="421">
        <v>4</v>
      </c>
      <c r="D530" s="41"/>
    </row>
    <row r="531" spans="1:5">
      <c r="A531" s="421" t="s">
        <v>698</v>
      </c>
      <c r="B531" s="411">
        <f>VLOOKUP(B527,'BANG LUONG 1'!$B$4:$AJ$55,6,0)</f>
        <v>0.03</v>
      </c>
      <c r="C531" s="421">
        <v>5</v>
      </c>
      <c r="D531" s="41"/>
    </row>
    <row r="532" spans="1:5">
      <c r="A532" s="421" t="s">
        <v>229</v>
      </c>
      <c r="B532" s="412">
        <f>'thang luong moi'!$F$5</f>
        <v>4012500</v>
      </c>
      <c r="C532" s="421">
        <v>6</v>
      </c>
      <c r="D532" s="41"/>
    </row>
    <row r="533" spans="1:5">
      <c r="A533" s="421" t="s">
        <v>217</v>
      </c>
      <c r="B533" s="412" t="str">
        <f>VLOOKUP(B527,'BANG LUONG 1'!$B$4:$AJ$55,8,0)</f>
        <v>B.02</v>
      </c>
      <c r="C533" s="421">
        <v>7</v>
      </c>
      <c r="D533" s="41"/>
    </row>
    <row r="534" spans="1:5">
      <c r="A534" s="421" t="s">
        <v>230</v>
      </c>
      <c r="B534" s="412">
        <f>VLOOKUP(B527,'BANG LUONG 1'!$B$4:$AJ$55,9,0)</f>
        <v>1</v>
      </c>
      <c r="C534" s="421">
        <v>8</v>
      </c>
      <c r="D534" s="41"/>
    </row>
    <row r="535" spans="1:5">
      <c r="A535" s="421" t="s">
        <v>538</v>
      </c>
      <c r="B535" s="412">
        <f>VLOOKUP(B527,'BANG LUONG 1'!$B$4:$AJ$55,11,0)</f>
        <v>4413750</v>
      </c>
      <c r="C535" s="421">
        <v>9</v>
      </c>
      <c r="D535" s="41"/>
    </row>
    <row r="536" spans="1:5">
      <c r="A536" s="421" t="s">
        <v>354</v>
      </c>
      <c r="B536" s="412">
        <f>VLOOKUP(B527,'BANG LUONG 1'!$B$4:$AJ$55,12,0)</f>
        <v>27</v>
      </c>
      <c r="C536" s="421">
        <v>10</v>
      </c>
      <c r="D536" s="41"/>
    </row>
    <row r="537" spans="1:5">
      <c r="A537" s="421" t="s">
        <v>534</v>
      </c>
      <c r="B537" s="412">
        <f>VLOOKUP(B527,'BANG LUONG 1'!$B$4:$AJ$55,13,0)</f>
        <v>4583509.615384615</v>
      </c>
      <c r="C537" s="421">
        <v>11</v>
      </c>
      <c r="D537" s="41"/>
    </row>
    <row r="538" spans="1:5">
      <c r="A538" s="421" t="s">
        <v>592</v>
      </c>
      <c r="B538" s="412">
        <f>VLOOKUP(B527,'BANG LUONG 1'!$B$4:$AJ$55,14,0)</f>
        <v>0</v>
      </c>
      <c r="C538" s="421">
        <v>12</v>
      </c>
      <c r="D538" s="41">
        <f>B535/26*B538</f>
        <v>0</v>
      </c>
    </row>
    <row r="539" spans="1:5">
      <c r="A539" s="421" t="s">
        <v>357</v>
      </c>
      <c r="B539" s="412">
        <f>VLOOKUP(B527,'BANG LUONG 1'!$B$4:$AJ$55,15,0)</f>
        <v>0</v>
      </c>
      <c r="C539" s="421">
        <v>13</v>
      </c>
      <c r="D539" s="41">
        <f>B535/26/8*1.5*B539</f>
        <v>0</v>
      </c>
    </row>
    <row r="540" spans="1:5">
      <c r="A540" s="421" t="s">
        <v>387</v>
      </c>
      <c r="B540" s="412">
        <f>VLOOKUP(B527,'BANG LUONG 1'!$B$4:$AJ$55,16,0)</f>
        <v>0</v>
      </c>
      <c r="C540" s="421">
        <v>14</v>
      </c>
      <c r="D540" s="41">
        <f>B535/26/8*2*B540</f>
        <v>0</v>
      </c>
    </row>
    <row r="541" spans="1:5">
      <c r="A541" s="421" t="s">
        <v>593</v>
      </c>
      <c r="B541" s="412">
        <f>VLOOKUP(B527,'BANG LUONG 1'!$B$4:$AJ$55,17,0)</f>
        <v>0</v>
      </c>
      <c r="C541" s="421"/>
      <c r="D541" s="41">
        <f>(B535/26)*B541</f>
        <v>0</v>
      </c>
    </row>
    <row r="542" spans="1:5">
      <c r="A542" s="421" t="s">
        <v>388</v>
      </c>
      <c r="B542" s="412">
        <f>VLOOKUP(B527,'BANG LUONG 1'!$B$4:$AJ$55,18,0)</f>
        <v>0</v>
      </c>
      <c r="C542" s="421">
        <v>15</v>
      </c>
      <c r="D542" s="41">
        <f>(B535/26*B542)*3</f>
        <v>0</v>
      </c>
    </row>
    <row r="543" spans="1:5">
      <c r="A543" s="421" t="s">
        <v>533</v>
      </c>
      <c r="B543" s="412">
        <f>VLOOKUP(B527,'BANG LUONG 1'!$B$4:$AJ$55,19,0)</f>
        <v>4583509.615384615</v>
      </c>
      <c r="C543" s="183">
        <v>16</v>
      </c>
      <c r="D543" s="185">
        <f>B537+D539+D540+D538+D542+D541</f>
        <v>4583509.615384615</v>
      </c>
      <c r="E543" s="108"/>
    </row>
    <row r="544" spans="1:5">
      <c r="A544" s="421" t="s">
        <v>535</v>
      </c>
      <c r="B544" s="412">
        <f>VLOOKUP(B527,'BANG LUONG 1'!$B$4:$AJ$55,20,0)</f>
        <v>-4583509.615384615</v>
      </c>
      <c r="C544" s="421">
        <v>17</v>
      </c>
      <c r="D544" s="41"/>
    </row>
    <row r="545" spans="1:5">
      <c r="A545" s="421" t="s">
        <v>370</v>
      </c>
      <c r="B545" s="412">
        <f>VLOOKUP(B527,'BANG LUONG 1'!$B$4:$AJ$55,22,0)</f>
        <v>132412.5</v>
      </c>
      <c r="C545" s="421">
        <v>18</v>
      </c>
      <c r="D545" s="41"/>
    </row>
    <row r="546" spans="1:5">
      <c r="A546" s="421" t="s">
        <v>371</v>
      </c>
      <c r="B546" s="412">
        <f>VLOOKUP(B527,'BANG LUONG 1'!$B$4:$AJ$55,23,0)</f>
        <v>300000</v>
      </c>
      <c r="C546" s="421">
        <v>19</v>
      </c>
      <c r="D546" s="41"/>
    </row>
    <row r="547" spans="1:5">
      <c r="A547" s="421" t="s">
        <v>560</v>
      </c>
      <c r="B547" s="412">
        <f>VLOOKUP(B527,'BANG LUONG 1'!$B$4:$AJ$55,24,0)</f>
        <v>0</v>
      </c>
      <c r="C547" s="421">
        <v>22</v>
      </c>
      <c r="D547" s="41"/>
    </row>
    <row r="548" spans="1:5">
      <c r="A548" s="183" t="s">
        <v>237</v>
      </c>
      <c r="B548" s="415">
        <f>VLOOKUP(B527,'BANG LUONG 1'!$B$4:$AJ$55,26,0)</f>
        <v>432412.5</v>
      </c>
      <c r="C548" s="421">
        <v>24</v>
      </c>
      <c r="D548" s="41"/>
    </row>
    <row r="549" spans="1:5">
      <c r="A549" s="421" t="s">
        <v>545</v>
      </c>
      <c r="B549" s="412">
        <f>VLOOKUP(B527,'BANG LUONG 1'!$B$4:$AJ$55,27,0)</f>
        <v>2000000</v>
      </c>
      <c r="C549" s="421">
        <v>25</v>
      </c>
      <c r="D549" s="41"/>
    </row>
    <row r="550" spans="1:5">
      <c r="A550" s="421" t="s">
        <v>544</v>
      </c>
      <c r="B550" s="412">
        <f>VLOOKUP(B527,'BANG LUONG 1'!$B$4:$AJ$55,28,0)</f>
        <v>480585</v>
      </c>
      <c r="C550" s="421">
        <v>26</v>
      </c>
      <c r="D550" s="41"/>
    </row>
    <row r="551" spans="1:5">
      <c r="A551" s="421" t="s">
        <v>713</v>
      </c>
      <c r="B551" s="415">
        <f>VLOOKUP(B527,'BANG LUONG 1'!$B$4:$AJ$55,32,0)</f>
        <v>0</v>
      </c>
      <c r="C551" s="421"/>
      <c r="D551" s="41"/>
    </row>
    <row r="552" spans="1:5">
      <c r="A552" s="421" t="s">
        <v>714</v>
      </c>
      <c r="B552" s="415">
        <f>VLOOKUP(B527,'BANG LUONG 1'!$B$4:$AJ$55,33,0)</f>
        <v>0</v>
      </c>
      <c r="C552" s="421"/>
      <c r="D552" s="41"/>
    </row>
    <row r="553" spans="1:5">
      <c r="A553" s="183" t="s">
        <v>707</v>
      </c>
      <c r="B553" s="415">
        <f>VLOOKUP(B527,'BANG LUONG 1'!$B$4:$AJ$55,30,0)</f>
        <v>0</v>
      </c>
      <c r="C553" s="421"/>
      <c r="D553" s="41"/>
      <c r="E553" s="108" t="str">
        <f>B528</f>
        <v>Trần văn Nguyện</v>
      </c>
    </row>
    <row r="554" spans="1:5">
      <c r="A554" s="183" t="s">
        <v>546</v>
      </c>
      <c r="B554" s="415">
        <f>VLOOKUP(B527,'BANG LUONG 1'!$B$4:$AJ$55,35,0)</f>
        <v>-2048000</v>
      </c>
      <c r="C554" s="421"/>
      <c r="D554" s="41"/>
    </row>
    <row r="555" spans="1:5">
      <c r="A555" s="184" t="s">
        <v>549</v>
      </c>
      <c r="B555" s="424">
        <f>'BANG LUONG 1'!$P$2</f>
        <v>43702</v>
      </c>
    </row>
    <row r="556" spans="1:5">
      <c r="A556" s="183" t="s">
        <v>1</v>
      </c>
      <c r="B556" s="185" t="s">
        <v>142</v>
      </c>
      <c r="C556" s="421">
        <v>1</v>
      </c>
      <c r="D556" s="41"/>
    </row>
    <row r="557" spans="1:5">
      <c r="A557" s="183" t="s">
        <v>2</v>
      </c>
      <c r="B557" s="185" t="str">
        <f>VLOOKUP($B556,'BANG LUONG 1'!$B$5:$AB$50,C557,0)</f>
        <v>Châu Văn Tâm</v>
      </c>
      <c r="C557" s="421">
        <v>2</v>
      </c>
      <c r="D557" s="41"/>
    </row>
    <row r="558" spans="1:5">
      <c r="A558" s="421" t="s">
        <v>3</v>
      </c>
      <c r="B558" s="41" t="str">
        <f>VLOOKUP($B556,'BANG LUONG 1'!$B$5:$AJ$50,C558,0)</f>
        <v>Lái xe cơ giới</v>
      </c>
      <c r="C558" s="421">
        <v>3</v>
      </c>
      <c r="D558" s="41"/>
    </row>
    <row r="559" spans="1:5">
      <c r="A559" s="421" t="s">
        <v>376</v>
      </c>
      <c r="B559" s="410">
        <f>VLOOKUP($B556,'BANG LUONG 1'!$B$4:$AJ$55,4,0)</f>
        <v>43248</v>
      </c>
      <c r="C559" s="421">
        <v>4</v>
      </c>
      <c r="D559" s="41"/>
    </row>
    <row r="560" spans="1:5">
      <c r="A560" s="421" t="s">
        <v>698</v>
      </c>
      <c r="B560" s="411">
        <f>VLOOKUP(B556,'BANG LUONG 1'!$B$4:$AJ$55,6,0)</f>
        <v>0</v>
      </c>
      <c r="C560" s="421">
        <v>5</v>
      </c>
      <c r="D560" s="41"/>
    </row>
    <row r="561" spans="1:5">
      <c r="A561" s="421" t="s">
        <v>229</v>
      </c>
      <c r="B561" s="412">
        <f>'thang luong moi'!$F$5</f>
        <v>4012500</v>
      </c>
      <c r="C561" s="421">
        <v>6</v>
      </c>
      <c r="D561" s="41"/>
    </row>
    <row r="562" spans="1:5">
      <c r="A562" s="421" t="s">
        <v>217</v>
      </c>
      <c r="B562" s="412" t="str">
        <f>VLOOKUP(B556,'BANG LUONG 1'!$B$4:$AJ$55,8,0)</f>
        <v>B.02</v>
      </c>
      <c r="C562" s="421">
        <v>7</v>
      </c>
      <c r="D562" s="41"/>
    </row>
    <row r="563" spans="1:5">
      <c r="A563" s="421" t="s">
        <v>230</v>
      </c>
      <c r="B563" s="412">
        <f>VLOOKUP(B556,'BANG LUONG 1'!$B$4:$AJ$55,9,0)</f>
        <v>1</v>
      </c>
      <c r="C563" s="421">
        <v>8</v>
      </c>
      <c r="D563" s="41"/>
    </row>
    <row r="564" spans="1:5">
      <c r="A564" s="421" t="s">
        <v>538</v>
      </c>
      <c r="B564" s="412">
        <f>VLOOKUP(B556,'BANG LUONG 1'!$B$4:$AJ$55,11,0)</f>
        <v>4413750</v>
      </c>
      <c r="C564" s="421">
        <v>9</v>
      </c>
      <c r="D564" s="41"/>
    </row>
    <row r="565" spans="1:5">
      <c r="A565" s="421" t="s">
        <v>354</v>
      </c>
      <c r="B565" s="412">
        <f>VLOOKUP(B556,'BANG LUONG 1'!$B$4:$AJ$55,12,0)</f>
        <v>27</v>
      </c>
      <c r="C565" s="421">
        <v>10</v>
      </c>
      <c r="D565" s="41"/>
    </row>
    <row r="566" spans="1:5">
      <c r="A566" s="421" t="s">
        <v>534</v>
      </c>
      <c r="B566" s="412">
        <f>VLOOKUP(B556,'BANG LUONG 1'!$B$4:$AJ$55,13,0)</f>
        <v>4583509.615384615</v>
      </c>
      <c r="C566" s="421">
        <v>11</v>
      </c>
      <c r="D566" s="41"/>
    </row>
    <row r="567" spans="1:5">
      <c r="A567" s="421" t="s">
        <v>592</v>
      </c>
      <c r="B567" s="412">
        <f>VLOOKUP(B556,'BANG LUONG 1'!$B$4:$AJ$55,14,0)</f>
        <v>0</v>
      </c>
      <c r="C567" s="421">
        <v>12</v>
      </c>
      <c r="D567" s="41">
        <f>B564/26*B567</f>
        <v>0</v>
      </c>
    </row>
    <row r="568" spans="1:5">
      <c r="A568" s="421" t="s">
        <v>357</v>
      </c>
      <c r="B568" s="412">
        <f>VLOOKUP(B556,'BANG LUONG 1'!$B$4:$AJ$55,15,0)</f>
        <v>0</v>
      </c>
      <c r="C568" s="421">
        <v>13</v>
      </c>
      <c r="D568" s="41">
        <f>B564/26/8*1.5*B568</f>
        <v>0</v>
      </c>
    </row>
    <row r="569" spans="1:5">
      <c r="A569" s="421" t="s">
        <v>387</v>
      </c>
      <c r="B569" s="412">
        <f>VLOOKUP(B556,'BANG LUONG 1'!$B$4:$AJ$55,16,0)</f>
        <v>0</v>
      </c>
      <c r="C569" s="421">
        <v>14</v>
      </c>
      <c r="D569" s="41">
        <f>B564/26/8*2*B569</f>
        <v>0</v>
      </c>
    </row>
    <row r="570" spans="1:5">
      <c r="A570" s="421" t="s">
        <v>593</v>
      </c>
      <c r="B570" s="412">
        <f>VLOOKUP(B556,'BANG LUONG 1'!$B$4:$AJ$55,17,0)</f>
        <v>0</v>
      </c>
      <c r="C570" s="421"/>
      <c r="D570" s="41">
        <f>(B564/26)*B570</f>
        <v>0</v>
      </c>
    </row>
    <row r="571" spans="1:5">
      <c r="A571" s="421" t="s">
        <v>388</v>
      </c>
      <c r="B571" s="412">
        <f>VLOOKUP(B556,'BANG LUONG 1'!$B$4:$AJ$55,18,0)</f>
        <v>0</v>
      </c>
      <c r="C571" s="421">
        <v>15</v>
      </c>
      <c r="D571" s="41">
        <f>(B564/26*B571)*3</f>
        <v>0</v>
      </c>
    </row>
    <row r="572" spans="1:5">
      <c r="A572" s="421" t="s">
        <v>533</v>
      </c>
      <c r="B572" s="412">
        <f>VLOOKUP(B556,'BANG LUONG 1'!$B$4:$AJ$55,19,0)</f>
        <v>4583509.615384615</v>
      </c>
      <c r="C572" s="183">
        <v>16</v>
      </c>
      <c r="D572" s="185">
        <f>B566+D568+D569+D567+D571+D570</f>
        <v>4583509.615384615</v>
      </c>
      <c r="E572" s="108"/>
    </row>
    <row r="573" spans="1:5">
      <c r="A573" s="421" t="s">
        <v>535</v>
      </c>
      <c r="B573" s="412">
        <f>VLOOKUP(B556,'BANG LUONG 1'!$B$4:$AJ$55,20,0)</f>
        <v>-4583509.615384615</v>
      </c>
      <c r="C573" s="421">
        <v>17</v>
      </c>
      <c r="D573" s="41"/>
    </row>
    <row r="574" spans="1:5">
      <c r="A574" s="421" t="s">
        <v>370</v>
      </c>
      <c r="B574" s="412">
        <f>VLOOKUP(B556,'BANG LUONG 1'!$B$4:$AJ$55,22,0)</f>
        <v>0</v>
      </c>
      <c r="C574" s="421">
        <v>18</v>
      </c>
      <c r="D574" s="41"/>
    </row>
    <row r="575" spans="1:5">
      <c r="A575" s="421" t="s">
        <v>371</v>
      </c>
      <c r="B575" s="412">
        <f>VLOOKUP(B556,'BANG LUONG 1'!$B$4:$AJ$55,23,0)</f>
        <v>300000</v>
      </c>
      <c r="C575" s="421">
        <v>19</v>
      </c>
      <c r="D575" s="41"/>
    </row>
    <row r="576" spans="1:5">
      <c r="A576" s="421" t="s">
        <v>560</v>
      </c>
      <c r="B576" s="412">
        <f>VLOOKUP(B556,'BANG LUONG 1'!$B$4:$AJ$55,24,0)</f>
        <v>0</v>
      </c>
      <c r="C576" s="421">
        <v>22</v>
      </c>
      <c r="D576" s="41"/>
    </row>
    <row r="577" spans="1:5">
      <c r="A577" s="183" t="s">
        <v>237</v>
      </c>
      <c r="B577" s="415">
        <f>VLOOKUP(B556,'BANG LUONG 1'!$B$4:$AJ$55,26,0)</f>
        <v>300000</v>
      </c>
      <c r="C577" s="421">
        <v>24</v>
      </c>
      <c r="D577" s="41"/>
    </row>
    <row r="578" spans="1:5">
      <c r="A578" s="421" t="s">
        <v>545</v>
      </c>
      <c r="B578" s="412">
        <f>VLOOKUP(B556,'BANG LUONG 1'!$B$4:$AJ$55,27,0)</f>
        <v>4000000</v>
      </c>
      <c r="C578" s="421">
        <v>25</v>
      </c>
      <c r="D578" s="41"/>
    </row>
    <row r="579" spans="1:5">
      <c r="A579" s="421" t="s">
        <v>544</v>
      </c>
      <c r="B579" s="412">
        <f>VLOOKUP(B556,'BANG LUONG 1'!$B$4:$AJ$55,28,0)</f>
        <v>480585</v>
      </c>
      <c r="C579" s="421">
        <v>26</v>
      </c>
      <c r="D579" s="41"/>
    </row>
    <row r="580" spans="1:5">
      <c r="A580" s="421" t="s">
        <v>713</v>
      </c>
      <c r="B580" s="415">
        <f>VLOOKUP(B556,'BANG LUONG 1'!$B$4:$AJ$55,32,0)</f>
        <v>0</v>
      </c>
      <c r="C580" s="421"/>
      <c r="D580" s="41"/>
    </row>
    <row r="581" spans="1:5">
      <c r="A581" s="421" t="s">
        <v>714</v>
      </c>
      <c r="B581" s="415">
        <f>VLOOKUP(B556,'BANG LUONG 1'!$B$4:$AJ$55,33,0)</f>
        <v>0</v>
      </c>
      <c r="C581" s="421"/>
      <c r="D581" s="41"/>
    </row>
    <row r="582" spans="1:5">
      <c r="A582" s="183" t="s">
        <v>707</v>
      </c>
      <c r="B582" s="415">
        <f>VLOOKUP(B556,'BANG LUONG 1'!$B$4:$AJ$55,30,0)</f>
        <v>0</v>
      </c>
      <c r="C582" s="421"/>
      <c r="D582" s="41"/>
      <c r="E582" s="108" t="str">
        <f>B557</f>
        <v>Châu Văn Tâm</v>
      </c>
    </row>
    <row r="583" spans="1:5">
      <c r="A583" s="183" t="s">
        <v>546</v>
      </c>
      <c r="B583" s="415">
        <f>VLOOKUP(B556,'BANG LUONG 1'!$B$4:$AJ$55,35,0)</f>
        <v>-4181000</v>
      </c>
      <c r="C583" s="421"/>
      <c r="D583" s="41"/>
    </row>
    <row r="584" spans="1:5">
      <c r="A584" s="184" t="s">
        <v>549</v>
      </c>
      <c r="B584" s="424">
        <f>'BANG LUONG 1'!$P$2</f>
        <v>43702</v>
      </c>
    </row>
    <row r="585" spans="1:5">
      <c r="A585" s="183" t="s">
        <v>1</v>
      </c>
      <c r="B585" s="185" t="s">
        <v>143</v>
      </c>
      <c r="C585" s="421">
        <v>1</v>
      </c>
      <c r="D585" s="41"/>
    </row>
    <row r="586" spans="1:5">
      <c r="A586" s="183" t="s">
        <v>2</v>
      </c>
      <c r="B586" s="185" t="str">
        <f>VLOOKUP($B585,'BANG LUONG 1'!$B$5:$AB$50,C586,0)</f>
        <v>Trần Ngọc Sơn</v>
      </c>
      <c r="C586" s="421">
        <v>2</v>
      </c>
      <c r="D586" s="41"/>
    </row>
    <row r="587" spans="1:5">
      <c r="A587" s="421" t="s">
        <v>3</v>
      </c>
      <c r="B587" s="41" t="str">
        <f>VLOOKUP($B585,'BANG LUONG 1'!$B$5:$AJ$50,C587,0)</f>
        <v>Lái xe cơ giới</v>
      </c>
      <c r="C587" s="421">
        <v>3</v>
      </c>
      <c r="D587" s="41"/>
    </row>
    <row r="588" spans="1:5">
      <c r="A588" s="421" t="s">
        <v>376</v>
      </c>
      <c r="B588" s="410">
        <f>VLOOKUP($B585,'BANG LUONG 1'!$B$4:$AJ$55,4,0)</f>
        <v>43248</v>
      </c>
      <c r="C588" s="421">
        <v>4</v>
      </c>
      <c r="D588" s="41"/>
    </row>
    <row r="589" spans="1:5">
      <c r="A589" s="421" t="s">
        <v>698</v>
      </c>
      <c r="B589" s="411">
        <f>VLOOKUP(B585,'BANG LUONG 1'!$B$4:$AJ$55,6,0)</f>
        <v>0</v>
      </c>
      <c r="C589" s="421">
        <v>5</v>
      </c>
      <c r="D589" s="41"/>
    </row>
    <row r="590" spans="1:5">
      <c r="A590" s="421" t="s">
        <v>229</v>
      </c>
      <c r="B590" s="412">
        <f>'thang luong moi'!$F$5</f>
        <v>4012500</v>
      </c>
      <c r="C590" s="421">
        <v>6</v>
      </c>
      <c r="D590" s="41"/>
    </row>
    <row r="591" spans="1:5">
      <c r="A591" s="421" t="s">
        <v>217</v>
      </c>
      <c r="B591" s="412" t="str">
        <f>VLOOKUP(B585,'BANG LUONG 1'!$B$4:$AJ$55,8,0)</f>
        <v>B.02</v>
      </c>
      <c r="C591" s="421">
        <v>7</v>
      </c>
      <c r="D591" s="41"/>
    </row>
    <row r="592" spans="1:5">
      <c r="A592" s="421" t="s">
        <v>230</v>
      </c>
      <c r="B592" s="412">
        <f>VLOOKUP(B585,'BANG LUONG 1'!$B$4:$AJ$55,9,0)</f>
        <v>1</v>
      </c>
      <c r="C592" s="421">
        <v>8</v>
      </c>
      <c r="D592" s="41"/>
    </row>
    <row r="593" spans="1:5">
      <c r="A593" s="421" t="s">
        <v>538</v>
      </c>
      <c r="B593" s="412">
        <f>VLOOKUP(B585,'BANG LUONG 1'!$B$4:$AJ$55,11,0)</f>
        <v>4413750</v>
      </c>
      <c r="C593" s="421">
        <v>9</v>
      </c>
      <c r="D593" s="41"/>
    </row>
    <row r="594" spans="1:5">
      <c r="A594" s="421" t="s">
        <v>354</v>
      </c>
      <c r="B594" s="412">
        <f>VLOOKUP(B585,'BANG LUONG 1'!$B$4:$AJ$55,12,0)</f>
        <v>27</v>
      </c>
      <c r="C594" s="421">
        <v>10</v>
      </c>
      <c r="D594" s="41"/>
    </row>
    <row r="595" spans="1:5">
      <c r="A595" s="421" t="s">
        <v>534</v>
      </c>
      <c r="B595" s="412">
        <f>VLOOKUP(B585,'BANG LUONG 1'!$B$4:$AJ$55,13,0)</f>
        <v>4583509.615384615</v>
      </c>
      <c r="C595" s="421">
        <v>11</v>
      </c>
      <c r="D595" s="41"/>
    </row>
    <row r="596" spans="1:5">
      <c r="A596" s="421" t="s">
        <v>592</v>
      </c>
      <c r="B596" s="412">
        <f>VLOOKUP(B585,'BANG LUONG 1'!$B$4:$AJ$55,14,0)</f>
        <v>0</v>
      </c>
      <c r="C596" s="421">
        <v>12</v>
      </c>
      <c r="D596" s="41">
        <f>B593/26*B596</f>
        <v>0</v>
      </c>
    </row>
    <row r="597" spans="1:5">
      <c r="A597" s="421" t="s">
        <v>357</v>
      </c>
      <c r="B597" s="412">
        <f>VLOOKUP(B585,'BANG LUONG 1'!$B$4:$AJ$55,15,0)</f>
        <v>0</v>
      </c>
      <c r="C597" s="421">
        <v>13</v>
      </c>
      <c r="D597" s="41">
        <f>B593/26/8*1.5*B597</f>
        <v>0</v>
      </c>
    </row>
    <row r="598" spans="1:5">
      <c r="A598" s="421" t="s">
        <v>387</v>
      </c>
      <c r="B598" s="412">
        <f>VLOOKUP(B585,'BANG LUONG 1'!$B$4:$AJ$55,16,0)</f>
        <v>0</v>
      </c>
      <c r="C598" s="421">
        <v>14</v>
      </c>
      <c r="D598" s="41">
        <f>B593/26/8*2*B598</f>
        <v>0</v>
      </c>
    </row>
    <row r="599" spans="1:5">
      <c r="A599" s="421" t="s">
        <v>593</v>
      </c>
      <c r="B599" s="412">
        <f>VLOOKUP(B585,'BANG LUONG 1'!$B$4:$AJ$55,17,0)</f>
        <v>0</v>
      </c>
      <c r="C599" s="421"/>
      <c r="D599" s="41">
        <f>(B593/26)*B599</f>
        <v>0</v>
      </c>
    </row>
    <row r="600" spans="1:5">
      <c r="A600" s="421" t="s">
        <v>388</v>
      </c>
      <c r="B600" s="412">
        <f>VLOOKUP(B585,'BANG LUONG 1'!$B$4:$AJ$55,18,0)</f>
        <v>0</v>
      </c>
      <c r="C600" s="421">
        <v>15</v>
      </c>
      <c r="D600" s="41">
        <f>(B593/26*B600)*3</f>
        <v>0</v>
      </c>
    </row>
    <row r="601" spans="1:5">
      <c r="A601" s="421" t="s">
        <v>533</v>
      </c>
      <c r="B601" s="412">
        <f>VLOOKUP(B585,'BANG LUONG 1'!$B$4:$AJ$55,19,0)</f>
        <v>4583509.615384615</v>
      </c>
      <c r="C601" s="183">
        <v>16</v>
      </c>
      <c r="D601" s="185">
        <f>B595+D597+D598+D596+D600+D599</f>
        <v>4583509.615384615</v>
      </c>
      <c r="E601" s="108"/>
    </row>
    <row r="602" spans="1:5">
      <c r="A602" s="421" t="s">
        <v>535</v>
      </c>
      <c r="B602" s="412">
        <f>VLOOKUP(B585,'BANG LUONG 1'!$B$4:$AJ$55,20,0)</f>
        <v>-4583509.615384615</v>
      </c>
      <c r="C602" s="421">
        <v>17</v>
      </c>
      <c r="D602" s="41"/>
    </row>
    <row r="603" spans="1:5">
      <c r="A603" s="421" t="s">
        <v>370</v>
      </c>
      <c r="B603" s="412">
        <f>VLOOKUP(B585,'BANG LUONG 1'!$B$4:$AJ$55,22,0)</f>
        <v>0</v>
      </c>
      <c r="C603" s="421">
        <v>18</v>
      </c>
      <c r="D603" s="41"/>
    </row>
    <row r="604" spans="1:5">
      <c r="A604" s="421" t="s">
        <v>371</v>
      </c>
      <c r="B604" s="412">
        <f>VLOOKUP(B585,'BANG LUONG 1'!$B$4:$AJ$55,23,0)</f>
        <v>300000</v>
      </c>
      <c r="C604" s="421">
        <v>19</v>
      </c>
      <c r="D604" s="41"/>
    </row>
    <row r="605" spans="1:5">
      <c r="A605" s="421" t="s">
        <v>560</v>
      </c>
      <c r="B605" s="412">
        <f>VLOOKUP(B585,'BANG LUONG 1'!$B$4:$AJ$55,24,0)</f>
        <v>0</v>
      </c>
      <c r="C605" s="421">
        <v>22</v>
      </c>
      <c r="D605" s="41"/>
    </row>
    <row r="606" spans="1:5">
      <c r="A606" s="183" t="s">
        <v>237</v>
      </c>
      <c r="B606" s="415">
        <f>VLOOKUP(B585,'BANG LUONG 1'!$B$4:$AJ$55,26,0)</f>
        <v>300000</v>
      </c>
      <c r="C606" s="421">
        <v>24</v>
      </c>
      <c r="D606" s="41"/>
    </row>
    <row r="607" spans="1:5">
      <c r="A607" s="421" t="s">
        <v>545</v>
      </c>
      <c r="B607" s="412">
        <f>VLOOKUP(B585,'BANG LUONG 1'!$B$4:$AJ$55,27,0)</f>
        <v>4000000</v>
      </c>
      <c r="C607" s="421">
        <v>25</v>
      </c>
      <c r="D607" s="41"/>
    </row>
    <row r="608" spans="1:5">
      <c r="A608" s="421" t="s">
        <v>544</v>
      </c>
      <c r="B608" s="412">
        <f>VLOOKUP(B585,'BANG LUONG 1'!$B$4:$AJ$55,28,0)</f>
        <v>480585</v>
      </c>
      <c r="C608" s="421">
        <v>26</v>
      </c>
      <c r="D608" s="41"/>
    </row>
    <row r="609" spans="1:5">
      <c r="A609" s="421" t="s">
        <v>713</v>
      </c>
      <c r="B609" s="415">
        <f>VLOOKUP(B585,'BANG LUONG 1'!$B$4:$AJ$55,32,0)</f>
        <v>0</v>
      </c>
      <c r="C609" s="421"/>
      <c r="D609" s="41"/>
    </row>
    <row r="610" spans="1:5">
      <c r="A610" s="421" t="s">
        <v>714</v>
      </c>
      <c r="B610" s="415">
        <f>VLOOKUP(B585,'BANG LUONG 1'!$B$4:$AJ$55,33,0)</f>
        <v>0</v>
      </c>
      <c r="C610" s="421"/>
      <c r="D610" s="41"/>
    </row>
    <row r="611" spans="1:5">
      <c r="A611" s="183" t="s">
        <v>707</v>
      </c>
      <c r="B611" s="415">
        <f>VLOOKUP(B585,'BANG LUONG 1'!$B$4:$AJ$55,30,0)</f>
        <v>0</v>
      </c>
      <c r="C611" s="421"/>
      <c r="D611" s="41"/>
      <c r="E611" s="108" t="str">
        <f>B586</f>
        <v>Trần Ngọc Sơn</v>
      </c>
    </row>
    <row r="612" spans="1:5">
      <c r="A612" s="183" t="s">
        <v>546</v>
      </c>
      <c r="B612" s="415">
        <f>VLOOKUP(B585,'BANG LUONG 1'!$B$4:$AJ$55,35,0)</f>
        <v>-4181000</v>
      </c>
      <c r="C612" s="421"/>
      <c r="D612" s="41"/>
    </row>
    <row r="613" spans="1:5">
      <c r="A613" s="184" t="s">
        <v>549</v>
      </c>
      <c r="B613" s="424">
        <f>'BANG LUONG 1'!$P$2</f>
        <v>43702</v>
      </c>
    </row>
    <row r="614" spans="1:5">
      <c r="A614" s="183" t="s">
        <v>1</v>
      </c>
      <c r="B614" s="185" t="s">
        <v>144</v>
      </c>
      <c r="C614" s="421">
        <v>1</v>
      </c>
      <c r="D614" s="41"/>
    </row>
    <row r="615" spans="1:5">
      <c r="A615" s="183" t="s">
        <v>2</v>
      </c>
      <c r="B615" s="185" t="str">
        <f>VLOOKUP($B614,'BANG LUONG 1'!$B$5:$AB$50,C615,0)</f>
        <v>Nguyễn Văn Tuấn</v>
      </c>
      <c r="C615" s="421">
        <v>2</v>
      </c>
      <c r="D615" s="41"/>
    </row>
    <row r="616" spans="1:5">
      <c r="A616" s="421" t="s">
        <v>3</v>
      </c>
      <c r="B616" s="41" t="str">
        <f>VLOOKUP($B614,'BANG LUONG 1'!$B$5:$AJ$50,C616,0)</f>
        <v>Lái xe cơ giới</v>
      </c>
      <c r="C616" s="421">
        <v>3</v>
      </c>
      <c r="D616" s="41"/>
    </row>
    <row r="617" spans="1:5">
      <c r="A617" s="421" t="s">
        <v>376</v>
      </c>
      <c r="B617" s="410">
        <f>VLOOKUP($B614,'BANG LUONG 1'!$B$4:$AJ$55,4,0)</f>
        <v>43246</v>
      </c>
      <c r="C617" s="421">
        <v>4</v>
      </c>
      <c r="D617" s="41"/>
    </row>
    <row r="618" spans="1:5">
      <c r="A618" s="421" t="s">
        <v>698</v>
      </c>
      <c r="B618" s="411">
        <f>VLOOKUP(B614,'BANG LUONG 1'!$B$4:$AJ$55,6,0)</f>
        <v>0</v>
      </c>
      <c r="C618" s="421">
        <v>5</v>
      </c>
      <c r="D618" s="41"/>
    </row>
    <row r="619" spans="1:5">
      <c r="A619" s="421" t="s">
        <v>229</v>
      </c>
      <c r="B619" s="412">
        <f>'thang luong moi'!$F$5</f>
        <v>4012500</v>
      </c>
      <c r="C619" s="421">
        <v>6</v>
      </c>
      <c r="D619" s="41"/>
    </row>
    <row r="620" spans="1:5">
      <c r="A620" s="421" t="s">
        <v>217</v>
      </c>
      <c r="B620" s="412" t="str">
        <f>VLOOKUP(B614,'BANG LUONG 1'!$B$4:$AJ$55,8,0)</f>
        <v>B.02</v>
      </c>
      <c r="C620" s="421">
        <v>7</v>
      </c>
      <c r="D620" s="41"/>
    </row>
    <row r="621" spans="1:5">
      <c r="A621" s="421" t="s">
        <v>230</v>
      </c>
      <c r="B621" s="412">
        <f>VLOOKUP(B614,'BANG LUONG 1'!$B$4:$AJ$55,9,0)</f>
        <v>1</v>
      </c>
      <c r="C621" s="421">
        <v>8</v>
      </c>
      <c r="D621" s="41"/>
    </row>
    <row r="622" spans="1:5">
      <c r="A622" s="421" t="s">
        <v>538</v>
      </c>
      <c r="B622" s="412">
        <f>VLOOKUP(B614,'BANG LUONG 1'!$B$4:$AJ$55,11,0)</f>
        <v>4413750</v>
      </c>
      <c r="C622" s="421">
        <v>9</v>
      </c>
      <c r="D622" s="41"/>
    </row>
    <row r="623" spans="1:5">
      <c r="A623" s="421" t="s">
        <v>354</v>
      </c>
      <c r="B623" s="412">
        <f>VLOOKUP(B614,'BANG LUONG 1'!$B$4:$AJ$55,12,0)</f>
        <v>27</v>
      </c>
      <c r="C623" s="421">
        <v>10</v>
      </c>
      <c r="D623" s="41"/>
    </row>
    <row r="624" spans="1:5">
      <c r="A624" s="421" t="s">
        <v>534</v>
      </c>
      <c r="B624" s="412">
        <f>VLOOKUP(B614,'BANG LUONG 1'!$B$4:$AJ$55,13,0)</f>
        <v>4583509.615384615</v>
      </c>
      <c r="C624" s="421">
        <v>11</v>
      </c>
      <c r="D624" s="41"/>
    </row>
    <row r="625" spans="1:5">
      <c r="A625" s="421" t="s">
        <v>592</v>
      </c>
      <c r="B625" s="412">
        <f>VLOOKUP(B614,'BANG LUONG 1'!$B$4:$AJ$55,14,0)</f>
        <v>0</v>
      </c>
      <c r="C625" s="421">
        <v>12</v>
      </c>
      <c r="D625" s="41">
        <f>B622/26*B625</f>
        <v>0</v>
      </c>
    </row>
    <row r="626" spans="1:5">
      <c r="A626" s="421" t="s">
        <v>357</v>
      </c>
      <c r="B626" s="412">
        <f>VLOOKUP(B614,'BANG LUONG 1'!$B$4:$AJ$55,15,0)</f>
        <v>0</v>
      </c>
      <c r="C626" s="421">
        <v>13</v>
      </c>
      <c r="D626" s="41">
        <f>B622/26/8*1.5*B626</f>
        <v>0</v>
      </c>
    </row>
    <row r="627" spans="1:5">
      <c r="A627" s="421" t="s">
        <v>387</v>
      </c>
      <c r="B627" s="412">
        <f>VLOOKUP(B614,'BANG LUONG 1'!$B$4:$AJ$55,16,0)</f>
        <v>0</v>
      </c>
      <c r="C627" s="421">
        <v>14</v>
      </c>
      <c r="D627" s="41">
        <f>B622/26/8*2*B627</f>
        <v>0</v>
      </c>
    </row>
    <row r="628" spans="1:5">
      <c r="A628" s="421" t="s">
        <v>593</v>
      </c>
      <c r="B628" s="412">
        <f>VLOOKUP(B614,'BANG LUONG 1'!$B$4:$AJ$55,17,0)</f>
        <v>0</v>
      </c>
      <c r="C628" s="421"/>
      <c r="D628" s="41">
        <f>(B622/26)*B628</f>
        <v>0</v>
      </c>
    </row>
    <row r="629" spans="1:5">
      <c r="A629" s="421" t="s">
        <v>388</v>
      </c>
      <c r="B629" s="412">
        <f>VLOOKUP(B614,'BANG LUONG 1'!$B$4:$AJ$55,18,0)</f>
        <v>0</v>
      </c>
      <c r="C629" s="421">
        <v>15</v>
      </c>
      <c r="D629" s="41">
        <f>(B622/26*B629)*3</f>
        <v>0</v>
      </c>
    </row>
    <row r="630" spans="1:5">
      <c r="A630" s="421" t="s">
        <v>533</v>
      </c>
      <c r="B630" s="412">
        <f>VLOOKUP(B614,'BANG LUONG 1'!$B$4:$AJ$55,19,0)</f>
        <v>4583509.615384615</v>
      </c>
      <c r="C630" s="183">
        <v>16</v>
      </c>
      <c r="D630" s="185">
        <f>B624+D626+D627+D625+D629+D628</f>
        <v>4583509.615384615</v>
      </c>
      <c r="E630" s="108"/>
    </row>
    <row r="631" spans="1:5">
      <c r="A631" s="421" t="s">
        <v>535</v>
      </c>
      <c r="B631" s="412">
        <f>VLOOKUP(B614,'BANG LUONG 1'!$B$4:$AJ$55,20,0)</f>
        <v>-4583509.615384615</v>
      </c>
      <c r="C631" s="421">
        <v>17</v>
      </c>
      <c r="D631" s="41"/>
    </row>
    <row r="632" spans="1:5">
      <c r="A632" s="421" t="s">
        <v>370</v>
      </c>
      <c r="B632" s="412">
        <f>VLOOKUP(B614,'BANG LUONG 1'!$B$4:$AJ$55,22,0)</f>
        <v>0</v>
      </c>
      <c r="C632" s="421">
        <v>18</v>
      </c>
      <c r="D632" s="41"/>
    </row>
    <row r="633" spans="1:5">
      <c r="A633" s="421" t="s">
        <v>371</v>
      </c>
      <c r="B633" s="412">
        <f>VLOOKUP(B614,'BANG LUONG 1'!$B$4:$AJ$55,23,0)</f>
        <v>300000</v>
      </c>
      <c r="C633" s="421">
        <v>19</v>
      </c>
      <c r="D633" s="41"/>
    </row>
    <row r="634" spans="1:5">
      <c r="A634" s="421" t="s">
        <v>560</v>
      </c>
      <c r="B634" s="412">
        <f>VLOOKUP(B614,'BANG LUONG 1'!$B$4:$AJ$55,24,0)</f>
        <v>0</v>
      </c>
      <c r="C634" s="421">
        <v>22</v>
      </c>
      <c r="D634" s="41"/>
    </row>
    <row r="635" spans="1:5">
      <c r="A635" s="183" t="s">
        <v>237</v>
      </c>
      <c r="B635" s="415">
        <f>VLOOKUP(B614,'BANG LUONG 1'!$B$4:$AJ$55,26,0)</f>
        <v>300000</v>
      </c>
      <c r="C635" s="421">
        <v>24</v>
      </c>
      <c r="D635" s="41"/>
    </row>
    <row r="636" spans="1:5">
      <c r="A636" s="421" t="s">
        <v>545</v>
      </c>
      <c r="B636" s="412">
        <f>VLOOKUP(B614,'BANG LUONG 1'!$B$4:$AJ$55,27,0)</f>
        <v>3000000</v>
      </c>
      <c r="C636" s="421">
        <v>25</v>
      </c>
      <c r="D636" s="41"/>
    </row>
    <row r="637" spans="1:5">
      <c r="A637" s="421" t="s">
        <v>544</v>
      </c>
      <c r="B637" s="412">
        <f>VLOOKUP(B614,'BANG LUONG 1'!$B$4:$AJ$55,28,0)</f>
        <v>480585</v>
      </c>
      <c r="C637" s="421">
        <v>26</v>
      </c>
      <c r="D637" s="41"/>
    </row>
    <row r="638" spans="1:5">
      <c r="A638" s="421" t="s">
        <v>713</v>
      </c>
      <c r="B638" s="415">
        <f>VLOOKUP(B614,'BANG LUONG 1'!$B$4:$AJ$55,32,0)</f>
        <v>0</v>
      </c>
      <c r="C638" s="421"/>
      <c r="D638" s="41"/>
    </row>
    <row r="639" spans="1:5">
      <c r="A639" s="421" t="s">
        <v>714</v>
      </c>
      <c r="B639" s="415">
        <f>VLOOKUP(B614,'BANG LUONG 1'!$B$4:$AJ$55,33,0)</f>
        <v>0</v>
      </c>
      <c r="C639" s="421"/>
      <c r="D639" s="41"/>
    </row>
    <row r="640" spans="1:5">
      <c r="A640" s="183" t="s">
        <v>707</v>
      </c>
      <c r="B640" s="415">
        <f>VLOOKUP(B614,'BANG LUONG 1'!$B$4:$AJ$55,30,0)</f>
        <v>0</v>
      </c>
      <c r="C640" s="421"/>
      <c r="D640" s="41"/>
      <c r="E640" s="108" t="str">
        <f>B615</f>
        <v>Nguyễn Văn Tuấn</v>
      </c>
    </row>
    <row r="641" spans="1:4">
      <c r="A641" s="183" t="s">
        <v>546</v>
      </c>
      <c r="B641" s="415">
        <f>VLOOKUP(B614,'BANG LUONG 1'!$B$4:$AJ$55,35,0)</f>
        <v>-3181000</v>
      </c>
      <c r="C641" s="421"/>
      <c r="D641" s="41"/>
    </row>
    <row r="642" spans="1:4">
      <c r="A642" s="184" t="s">
        <v>549</v>
      </c>
      <c r="B642" s="424">
        <f>'BANG LUONG 1'!$P$2</f>
        <v>43702</v>
      </c>
    </row>
    <row r="643" spans="1:4">
      <c r="A643" s="183" t="s">
        <v>1</v>
      </c>
      <c r="B643" s="185" t="s">
        <v>145</v>
      </c>
      <c r="C643" s="421">
        <v>1</v>
      </c>
      <c r="D643" s="41"/>
    </row>
    <row r="644" spans="1:4">
      <c r="A644" s="183" t="s">
        <v>2</v>
      </c>
      <c r="B644" s="185" t="str">
        <f>VLOOKUP($B643,'BANG LUONG 1'!$B$5:$AB$50,C644,0)</f>
        <v>Hà Thanh Truyền</v>
      </c>
      <c r="C644" s="421">
        <v>2</v>
      </c>
      <c r="D644" s="41"/>
    </row>
    <row r="645" spans="1:4">
      <c r="A645" s="421" t="s">
        <v>3</v>
      </c>
      <c r="B645" s="41" t="str">
        <f>VLOOKUP($B643,'BANG LUONG 1'!$B$5:$AJ$50,C645,0)</f>
        <v>Lái xe cơ giới</v>
      </c>
      <c r="C645" s="421">
        <v>3</v>
      </c>
      <c r="D645" s="41"/>
    </row>
    <row r="646" spans="1:4">
      <c r="A646" s="421" t="s">
        <v>376</v>
      </c>
      <c r="B646" s="410">
        <f>VLOOKUP($B643,'BANG LUONG 1'!$B$4:$AJ$55,4,0)</f>
        <v>42789</v>
      </c>
      <c r="C646" s="421">
        <v>4</v>
      </c>
      <c r="D646" s="41"/>
    </row>
    <row r="647" spans="1:4">
      <c r="A647" s="421" t="s">
        <v>698</v>
      </c>
      <c r="B647" s="411">
        <f>VLOOKUP(B643,'BANG LUONG 1'!$B$4:$AJ$55,6,0)</f>
        <v>0</v>
      </c>
      <c r="C647" s="421">
        <v>5</v>
      </c>
      <c r="D647" s="41"/>
    </row>
    <row r="648" spans="1:4">
      <c r="A648" s="421" t="s">
        <v>229</v>
      </c>
      <c r="B648" s="412">
        <f>'thang luong moi'!$F$5</f>
        <v>4012500</v>
      </c>
      <c r="C648" s="421">
        <v>6</v>
      </c>
      <c r="D648" s="41"/>
    </row>
    <row r="649" spans="1:4">
      <c r="A649" s="421" t="s">
        <v>217</v>
      </c>
      <c r="B649" s="412" t="str">
        <f>VLOOKUP(B643,'BANG LUONG 1'!$B$4:$AJ$55,8,0)</f>
        <v>B.02</v>
      </c>
      <c r="C649" s="421">
        <v>7</v>
      </c>
      <c r="D649" s="41"/>
    </row>
    <row r="650" spans="1:4">
      <c r="A650" s="421" t="s">
        <v>230</v>
      </c>
      <c r="B650" s="412">
        <f>VLOOKUP(B643,'BANG LUONG 1'!$B$4:$AJ$55,9,0)</f>
        <v>1</v>
      </c>
      <c r="C650" s="421">
        <v>8</v>
      </c>
      <c r="D650" s="41"/>
    </row>
    <row r="651" spans="1:4">
      <c r="A651" s="421" t="s">
        <v>538</v>
      </c>
      <c r="B651" s="412">
        <f>VLOOKUP(B643,'BANG LUONG 1'!$B$4:$AJ$55,11,0)</f>
        <v>4413750</v>
      </c>
      <c r="C651" s="421">
        <v>9</v>
      </c>
      <c r="D651" s="41"/>
    </row>
    <row r="652" spans="1:4">
      <c r="A652" s="421" t="s">
        <v>354</v>
      </c>
      <c r="B652" s="412">
        <f>VLOOKUP(B643,'BANG LUONG 1'!$B$4:$AJ$55,12,0)</f>
        <v>27</v>
      </c>
      <c r="C652" s="421">
        <v>10</v>
      </c>
      <c r="D652" s="41"/>
    </row>
    <row r="653" spans="1:4">
      <c r="A653" s="421" t="s">
        <v>534</v>
      </c>
      <c r="B653" s="412">
        <f>VLOOKUP(B643,'BANG LUONG 1'!$B$4:$AJ$55,13,0)</f>
        <v>4583509.615384615</v>
      </c>
      <c r="C653" s="421">
        <v>11</v>
      </c>
      <c r="D653" s="41"/>
    </row>
    <row r="654" spans="1:4">
      <c r="A654" s="421" t="s">
        <v>592</v>
      </c>
      <c r="B654" s="412">
        <f>VLOOKUP(B643,'BANG LUONG 1'!$B$4:$AJ$55,14,0)</f>
        <v>0</v>
      </c>
      <c r="C654" s="421">
        <v>12</v>
      </c>
      <c r="D654" s="41">
        <f>B651/26*B654</f>
        <v>0</v>
      </c>
    </row>
    <row r="655" spans="1:4">
      <c r="A655" s="421" t="s">
        <v>357</v>
      </c>
      <c r="B655" s="412">
        <f>VLOOKUP(B643,'BANG LUONG 1'!$B$4:$AJ$55,15,0)</f>
        <v>0</v>
      </c>
      <c r="C655" s="421">
        <v>13</v>
      </c>
      <c r="D655" s="41">
        <f>B651/26/8*1.5*B655</f>
        <v>0</v>
      </c>
    </row>
    <row r="656" spans="1:4">
      <c r="A656" s="421" t="s">
        <v>387</v>
      </c>
      <c r="B656" s="412">
        <f>VLOOKUP(B643,'BANG LUONG 1'!$B$4:$AJ$55,16,0)</f>
        <v>0</v>
      </c>
      <c r="C656" s="421">
        <v>14</v>
      </c>
      <c r="D656" s="41">
        <f>B651/26/8*2*B656</f>
        <v>0</v>
      </c>
    </row>
    <row r="657" spans="1:5">
      <c r="A657" s="421" t="s">
        <v>593</v>
      </c>
      <c r="B657" s="412">
        <f>VLOOKUP(B643,'BANG LUONG 1'!$B$4:$AJ$55,17,0)</f>
        <v>0</v>
      </c>
      <c r="C657" s="421"/>
      <c r="D657" s="41">
        <f>(B651/26)*B657</f>
        <v>0</v>
      </c>
    </row>
    <row r="658" spans="1:5">
      <c r="A658" s="421" t="s">
        <v>388</v>
      </c>
      <c r="B658" s="412">
        <f>VLOOKUP(B643,'BANG LUONG 1'!$B$4:$AJ$55,18,0)</f>
        <v>0</v>
      </c>
      <c r="C658" s="421">
        <v>15</v>
      </c>
      <c r="D658" s="41">
        <f>(B651/26*B658)*3</f>
        <v>0</v>
      </c>
    </row>
    <row r="659" spans="1:5">
      <c r="A659" s="421" t="s">
        <v>533</v>
      </c>
      <c r="B659" s="412">
        <f>VLOOKUP(B643,'BANG LUONG 1'!$B$4:$AJ$55,19,0)</f>
        <v>4583509.615384615</v>
      </c>
      <c r="C659" s="183">
        <v>16</v>
      </c>
      <c r="D659" s="185">
        <f>B653+D655+D656+D654+D658+D657</f>
        <v>4583509.615384615</v>
      </c>
      <c r="E659" s="108"/>
    </row>
    <row r="660" spans="1:5">
      <c r="A660" s="421" t="s">
        <v>535</v>
      </c>
      <c r="B660" s="412">
        <f>VLOOKUP(B643,'BANG LUONG 1'!$B$4:$AJ$55,20,0)</f>
        <v>-4583509.615384615</v>
      </c>
      <c r="C660" s="421">
        <v>17</v>
      </c>
      <c r="D660" s="41"/>
    </row>
    <row r="661" spans="1:5">
      <c r="A661" s="421" t="s">
        <v>370</v>
      </c>
      <c r="B661" s="412">
        <f>VLOOKUP(B643,'BANG LUONG 1'!$B$4:$AJ$55,22,0)</f>
        <v>0</v>
      </c>
      <c r="C661" s="421">
        <v>18</v>
      </c>
      <c r="D661" s="41"/>
    </row>
    <row r="662" spans="1:5">
      <c r="A662" s="421" t="s">
        <v>371</v>
      </c>
      <c r="B662" s="412">
        <f>VLOOKUP(B643,'BANG LUONG 1'!$B$4:$AJ$55,23,0)</f>
        <v>300000</v>
      </c>
      <c r="C662" s="421">
        <v>19</v>
      </c>
      <c r="D662" s="41"/>
    </row>
    <row r="663" spans="1:5">
      <c r="A663" s="421" t="s">
        <v>560</v>
      </c>
      <c r="B663" s="412">
        <f>VLOOKUP(B643,'BANG LUONG 1'!$B$4:$AJ$55,24,0)</f>
        <v>0</v>
      </c>
      <c r="C663" s="421">
        <v>22</v>
      </c>
      <c r="D663" s="41"/>
    </row>
    <row r="664" spans="1:5">
      <c r="A664" s="183" t="s">
        <v>237</v>
      </c>
      <c r="B664" s="415">
        <f>VLOOKUP(B643,'BANG LUONG 1'!$B$4:$AJ$55,26,0)</f>
        <v>300000</v>
      </c>
      <c r="C664" s="421">
        <v>24</v>
      </c>
      <c r="D664" s="41"/>
    </row>
    <row r="665" spans="1:5">
      <c r="A665" s="421" t="s">
        <v>545</v>
      </c>
      <c r="B665" s="412">
        <f>VLOOKUP(B643,'BANG LUONG 1'!$B$4:$AJ$55,27,0)</f>
        <v>4000000</v>
      </c>
      <c r="C665" s="421">
        <v>25</v>
      </c>
      <c r="D665" s="41"/>
    </row>
    <row r="666" spans="1:5">
      <c r="A666" s="421" t="s">
        <v>544</v>
      </c>
      <c r="B666" s="412">
        <f>VLOOKUP(B643,'BANG LUONG 1'!$B$4:$AJ$55,28,0)</f>
        <v>480585</v>
      </c>
      <c r="C666" s="421">
        <v>26</v>
      </c>
      <c r="D666" s="41"/>
    </row>
    <row r="667" spans="1:5">
      <c r="A667" s="421" t="s">
        <v>713</v>
      </c>
      <c r="B667" s="415">
        <f>VLOOKUP(B643,'BANG LUONG 1'!$B$4:$AJ$55,32,0)</f>
        <v>0</v>
      </c>
      <c r="C667" s="421"/>
      <c r="D667" s="41"/>
    </row>
    <row r="668" spans="1:5">
      <c r="A668" s="421" t="s">
        <v>714</v>
      </c>
      <c r="B668" s="415">
        <f>VLOOKUP(B643,'BANG LUONG 1'!$B$4:$AJ$55,33,0)</f>
        <v>0</v>
      </c>
      <c r="C668" s="421"/>
      <c r="D668" s="41"/>
    </row>
    <row r="669" spans="1:5">
      <c r="A669" s="183" t="s">
        <v>707</v>
      </c>
      <c r="B669" s="415">
        <f>VLOOKUP(B643,'BANG LUONG 1'!$B$4:$AJ$55,30,0)</f>
        <v>0</v>
      </c>
      <c r="C669" s="421"/>
      <c r="D669" s="41"/>
      <c r="E669" s="108" t="str">
        <f>B644</f>
        <v>Hà Thanh Truyền</v>
      </c>
    </row>
    <row r="670" spans="1:5">
      <c r="A670" s="183" t="s">
        <v>546</v>
      </c>
      <c r="B670" s="415">
        <f>VLOOKUP(B643,'BANG LUONG 1'!$B$4:$AJ$55,35,0)</f>
        <v>-4181000</v>
      </c>
      <c r="C670" s="421"/>
      <c r="D670" s="41"/>
    </row>
    <row r="671" spans="1:5">
      <c r="A671" s="184" t="s">
        <v>549</v>
      </c>
      <c r="B671" s="424">
        <f>'BANG LUONG 1'!$P$2</f>
        <v>43702</v>
      </c>
    </row>
    <row r="672" spans="1:5">
      <c r="A672" s="183" t="s">
        <v>1</v>
      </c>
      <c r="B672" s="185" t="s">
        <v>146</v>
      </c>
      <c r="C672" s="421">
        <v>1</v>
      </c>
      <c r="D672" s="41"/>
    </row>
    <row r="673" spans="1:5">
      <c r="A673" s="183" t="s">
        <v>2</v>
      </c>
      <c r="B673" s="185" t="str">
        <f>VLOOKUP($B672,'BANG LUONG 1'!$B$5:$AB$50,C673,0)</f>
        <v>Phan Văn Bạn</v>
      </c>
      <c r="C673" s="421">
        <v>2</v>
      </c>
      <c r="D673" s="41"/>
    </row>
    <row r="674" spans="1:5">
      <c r="A674" s="421" t="s">
        <v>3</v>
      </c>
      <c r="B674" s="41" t="str">
        <f>VLOOKUP($B672,'BANG LUONG 1'!$B$5:$AJ$50,C674,0)</f>
        <v>Lái xe cơ giới</v>
      </c>
      <c r="C674" s="421">
        <v>3</v>
      </c>
      <c r="D674" s="41"/>
    </row>
    <row r="675" spans="1:5">
      <c r="A675" s="421" t="s">
        <v>376</v>
      </c>
      <c r="B675" s="410">
        <f>VLOOKUP($B672,'BANG LUONG 1'!$B$4:$AJ$55,4,0)</f>
        <v>41640</v>
      </c>
      <c r="C675" s="421">
        <v>4</v>
      </c>
      <c r="D675" s="41"/>
    </row>
    <row r="676" spans="1:5">
      <c r="A676" s="421" t="s">
        <v>698</v>
      </c>
      <c r="B676" s="411">
        <f>VLOOKUP(B672,'BANG LUONG 1'!$B$4:$AJ$55,6,0)</f>
        <v>0.05</v>
      </c>
      <c r="C676" s="421">
        <v>5</v>
      </c>
      <c r="D676" s="41"/>
    </row>
    <row r="677" spans="1:5">
      <c r="A677" s="421" t="s">
        <v>229</v>
      </c>
      <c r="B677" s="412">
        <f>'thang luong moi'!$F$5</f>
        <v>4012500</v>
      </c>
      <c r="C677" s="421">
        <v>6</v>
      </c>
      <c r="D677" s="41"/>
    </row>
    <row r="678" spans="1:5">
      <c r="A678" s="421" t="s">
        <v>217</v>
      </c>
      <c r="B678" s="412" t="str">
        <f>VLOOKUP(B672,'BANG LUONG 1'!$B$4:$AJ$55,8,0)</f>
        <v>B.02</v>
      </c>
      <c r="C678" s="421">
        <v>7</v>
      </c>
      <c r="D678" s="41"/>
    </row>
    <row r="679" spans="1:5">
      <c r="A679" s="421" t="s">
        <v>230</v>
      </c>
      <c r="B679" s="412">
        <f>VLOOKUP(B672,'BANG LUONG 1'!$B$4:$AJ$55,9,0)</f>
        <v>1</v>
      </c>
      <c r="C679" s="421">
        <v>8</v>
      </c>
      <c r="D679" s="41"/>
    </row>
    <row r="680" spans="1:5">
      <c r="A680" s="421" t="s">
        <v>538</v>
      </c>
      <c r="B680" s="412">
        <f>VLOOKUP(B672,'BANG LUONG 1'!$B$4:$AJ$55,11,0)</f>
        <v>4413750</v>
      </c>
      <c r="C680" s="421">
        <v>9</v>
      </c>
      <c r="D680" s="41"/>
    </row>
    <row r="681" spans="1:5">
      <c r="A681" s="421" t="s">
        <v>354</v>
      </c>
      <c r="B681" s="412">
        <f>VLOOKUP(B672,'BANG LUONG 1'!$B$4:$AJ$55,12,0)</f>
        <v>27</v>
      </c>
      <c r="C681" s="421">
        <v>10</v>
      </c>
      <c r="D681" s="41"/>
    </row>
    <row r="682" spans="1:5">
      <c r="A682" s="421" t="s">
        <v>534</v>
      </c>
      <c r="B682" s="412">
        <f>VLOOKUP(B672,'BANG LUONG 1'!$B$4:$AJ$55,13,0)</f>
        <v>4583509.615384615</v>
      </c>
      <c r="C682" s="421">
        <v>11</v>
      </c>
      <c r="D682" s="41"/>
    </row>
    <row r="683" spans="1:5">
      <c r="A683" s="421" t="s">
        <v>592</v>
      </c>
      <c r="B683" s="412">
        <f>VLOOKUP(B672,'BANG LUONG 1'!$B$4:$AJ$55,14,0)</f>
        <v>0</v>
      </c>
      <c r="C683" s="421">
        <v>12</v>
      </c>
      <c r="D683" s="41">
        <f>B680/26*B683</f>
        <v>0</v>
      </c>
    </row>
    <row r="684" spans="1:5">
      <c r="A684" s="421" t="s">
        <v>357</v>
      </c>
      <c r="B684" s="412">
        <f>VLOOKUP(B672,'BANG LUONG 1'!$B$4:$AJ$55,15,0)</f>
        <v>0</v>
      </c>
      <c r="C684" s="421">
        <v>13</v>
      </c>
      <c r="D684" s="41">
        <f>B680/26/8*1.5*B684</f>
        <v>0</v>
      </c>
    </row>
    <row r="685" spans="1:5">
      <c r="A685" s="421" t="s">
        <v>387</v>
      </c>
      <c r="B685" s="412">
        <f>VLOOKUP(B672,'BANG LUONG 1'!$B$4:$AJ$55,16,0)</f>
        <v>0</v>
      </c>
      <c r="C685" s="421">
        <v>14</v>
      </c>
      <c r="D685" s="41">
        <f>B680/26/8*2*B685</f>
        <v>0</v>
      </c>
    </row>
    <row r="686" spans="1:5">
      <c r="A686" s="421" t="s">
        <v>593</v>
      </c>
      <c r="B686" s="412">
        <f>VLOOKUP(B672,'BANG LUONG 1'!$B$4:$AJ$55,17,0)</f>
        <v>0</v>
      </c>
      <c r="C686" s="421"/>
      <c r="D686" s="41">
        <f>(B680/26)*B686</f>
        <v>0</v>
      </c>
    </row>
    <row r="687" spans="1:5">
      <c r="A687" s="421" t="s">
        <v>388</v>
      </c>
      <c r="B687" s="412">
        <f>VLOOKUP(B672,'BANG LUONG 1'!$B$4:$AJ$55,18,0)</f>
        <v>0</v>
      </c>
      <c r="C687" s="421">
        <v>15</v>
      </c>
      <c r="D687" s="41">
        <f>(B680/26*B687)*3</f>
        <v>0</v>
      </c>
    </row>
    <row r="688" spans="1:5">
      <c r="A688" s="421" t="s">
        <v>533</v>
      </c>
      <c r="B688" s="412">
        <f>VLOOKUP(B672,'BANG LUONG 1'!$B$4:$AJ$55,19,0)</f>
        <v>4583509.615384615</v>
      </c>
      <c r="C688" s="183">
        <v>16</v>
      </c>
      <c r="D688" s="185">
        <f>B682+D684+D685+D683+D687+D686</f>
        <v>4583509.615384615</v>
      </c>
      <c r="E688" s="108"/>
    </row>
    <row r="689" spans="1:5">
      <c r="A689" s="421" t="s">
        <v>535</v>
      </c>
      <c r="B689" s="412">
        <f>VLOOKUP(B672,'BANG LUONG 1'!$B$4:$AJ$55,20,0)</f>
        <v>-4325555.769230769</v>
      </c>
      <c r="C689" s="421">
        <v>17</v>
      </c>
      <c r="D689" s="41"/>
    </row>
    <row r="690" spans="1:5">
      <c r="A690" s="421" t="s">
        <v>370</v>
      </c>
      <c r="B690" s="412">
        <f>VLOOKUP(B672,'BANG LUONG 1'!$B$4:$AJ$55,22,0)</f>
        <v>220687.5</v>
      </c>
      <c r="C690" s="421">
        <v>18</v>
      </c>
      <c r="D690" s="41"/>
    </row>
    <row r="691" spans="1:5">
      <c r="A691" s="421" t="s">
        <v>371</v>
      </c>
      <c r="B691" s="412">
        <f>VLOOKUP(B672,'BANG LUONG 1'!$B$4:$AJ$55,23,0)</f>
        <v>300000</v>
      </c>
      <c r="C691" s="421">
        <v>19</v>
      </c>
      <c r="D691" s="41"/>
    </row>
    <row r="692" spans="1:5">
      <c r="A692" s="421" t="s">
        <v>560</v>
      </c>
      <c r="B692" s="412">
        <f>VLOOKUP(B672,'BANG LUONG 1'!$B$4:$AJ$55,24,0)</f>
        <v>0</v>
      </c>
      <c r="C692" s="421">
        <v>22</v>
      </c>
      <c r="D692" s="41"/>
    </row>
    <row r="693" spans="1:5">
      <c r="A693" s="183" t="s">
        <v>237</v>
      </c>
      <c r="B693" s="415">
        <f>VLOOKUP(B672,'BANG LUONG 1'!$B$4:$AJ$55,26,0)</f>
        <v>778641.34615384601</v>
      </c>
      <c r="C693" s="421">
        <v>24</v>
      </c>
      <c r="D693" s="41"/>
    </row>
    <row r="694" spans="1:5">
      <c r="A694" s="421" t="s">
        <v>545</v>
      </c>
      <c r="B694" s="412">
        <f>VLOOKUP(B672,'BANG LUONG 1'!$B$4:$AJ$55,27,0)</f>
        <v>3000000</v>
      </c>
      <c r="C694" s="421">
        <v>25</v>
      </c>
      <c r="D694" s="41"/>
    </row>
    <row r="695" spans="1:5">
      <c r="A695" s="421" t="s">
        <v>544</v>
      </c>
      <c r="B695" s="412">
        <f>VLOOKUP(B672,'BANG LUONG 1'!$B$4:$AJ$55,28,0)</f>
        <v>480585</v>
      </c>
      <c r="C695" s="421">
        <v>26</v>
      </c>
      <c r="D695" s="41"/>
    </row>
    <row r="696" spans="1:5">
      <c r="A696" s="421" t="s">
        <v>713</v>
      </c>
      <c r="B696" s="415">
        <f>VLOOKUP(B672,'BANG LUONG 1'!$B$4:$AJ$55,32,0)</f>
        <v>0</v>
      </c>
      <c r="C696" s="421"/>
      <c r="D696" s="41"/>
    </row>
    <row r="697" spans="1:5">
      <c r="A697" s="421" t="s">
        <v>714</v>
      </c>
      <c r="B697" s="415">
        <f>VLOOKUP(B672,'BANG LUONG 1'!$B$4:$AJ$55,33,0)</f>
        <v>0</v>
      </c>
      <c r="C697" s="421"/>
      <c r="D697" s="41"/>
    </row>
    <row r="698" spans="1:5">
      <c r="A698" s="183" t="s">
        <v>707</v>
      </c>
      <c r="B698" s="415">
        <f>VLOOKUP(B672,'BANG LUONG 1'!$B$4:$AJ$55,30,0)</f>
        <v>0</v>
      </c>
      <c r="C698" s="421"/>
      <c r="D698" s="41"/>
      <c r="E698" s="108" t="str">
        <f>B673</f>
        <v>Phan Văn Bạn</v>
      </c>
    </row>
    <row r="699" spans="1:5">
      <c r="A699" s="183" t="s">
        <v>546</v>
      </c>
      <c r="B699" s="415">
        <f>VLOOKUP(B672,'BANG LUONG 1'!$B$4:$AJ$55,35,0)</f>
        <v>-2702000</v>
      </c>
      <c r="C699" s="421"/>
      <c r="D699" s="41"/>
    </row>
    <row r="700" spans="1:5">
      <c r="A700" s="184" t="s">
        <v>549</v>
      </c>
      <c r="B700" s="424">
        <f>'BANG LUONG 1'!$P$2</f>
        <v>43702</v>
      </c>
    </row>
    <row r="701" spans="1:5">
      <c r="A701" s="183" t="s">
        <v>1</v>
      </c>
      <c r="B701" s="185" t="s">
        <v>147</v>
      </c>
      <c r="C701" s="421">
        <v>1</v>
      </c>
      <c r="D701" s="41"/>
    </row>
    <row r="702" spans="1:5">
      <c r="A702" s="183" t="s">
        <v>2</v>
      </c>
      <c r="B702" s="185" t="str">
        <f>VLOOKUP($B701,'BANG LUONG 1'!$B$5:$AB$50,C702,0)</f>
        <v>Lê Minh Trọng</v>
      </c>
      <c r="C702" s="421">
        <v>2</v>
      </c>
      <c r="D702" s="41"/>
    </row>
    <row r="703" spans="1:5">
      <c r="A703" s="421" t="s">
        <v>3</v>
      </c>
      <c r="B703" s="41" t="str">
        <f>VLOOKUP($B701,'BANG LUONG 1'!$B$5:$AJ$50,C703,0)</f>
        <v>Lái xe cơ giới</v>
      </c>
      <c r="C703" s="421">
        <v>3</v>
      </c>
      <c r="D703" s="41"/>
    </row>
    <row r="704" spans="1:5">
      <c r="A704" s="421" t="s">
        <v>376</v>
      </c>
      <c r="B704" s="410">
        <f>VLOOKUP($B701,'BANG LUONG 1'!$B$4:$AJ$55,4,0)</f>
        <v>42375</v>
      </c>
      <c r="C704" s="421">
        <v>4</v>
      </c>
      <c r="D704" s="41"/>
    </row>
    <row r="705" spans="1:5">
      <c r="A705" s="421" t="s">
        <v>698</v>
      </c>
      <c r="B705" s="411">
        <f>VLOOKUP(B701,'BANG LUONG 1'!$B$4:$AJ$55,6,0)</f>
        <v>0.03</v>
      </c>
      <c r="C705" s="421">
        <v>5</v>
      </c>
      <c r="D705" s="41"/>
    </row>
    <row r="706" spans="1:5">
      <c r="A706" s="421" t="s">
        <v>229</v>
      </c>
      <c r="B706" s="412">
        <f>'thang luong moi'!$F$5</f>
        <v>4012500</v>
      </c>
      <c r="C706" s="421">
        <v>6</v>
      </c>
      <c r="D706" s="41"/>
    </row>
    <row r="707" spans="1:5">
      <c r="A707" s="421" t="s">
        <v>217</v>
      </c>
      <c r="B707" s="412" t="str">
        <f>VLOOKUP(B701,'BANG LUONG 1'!$B$4:$AJ$55,8,0)</f>
        <v>B.02</v>
      </c>
      <c r="C707" s="421">
        <v>7</v>
      </c>
      <c r="D707" s="41"/>
    </row>
    <row r="708" spans="1:5">
      <c r="A708" s="421" t="s">
        <v>230</v>
      </c>
      <c r="B708" s="412">
        <f>VLOOKUP(B701,'BANG LUONG 1'!$B$4:$AJ$55,9,0)</f>
        <v>1</v>
      </c>
      <c r="C708" s="421">
        <v>8</v>
      </c>
      <c r="D708" s="41"/>
    </row>
    <row r="709" spans="1:5">
      <c r="A709" s="421" t="s">
        <v>538</v>
      </c>
      <c r="B709" s="412">
        <f>VLOOKUP(B701,'BANG LUONG 1'!$B$4:$AJ$55,11,0)</f>
        <v>4413750</v>
      </c>
      <c r="C709" s="421">
        <v>9</v>
      </c>
      <c r="D709" s="41"/>
    </row>
    <row r="710" spans="1:5">
      <c r="A710" s="421" t="s">
        <v>354</v>
      </c>
      <c r="B710" s="412">
        <f>VLOOKUP(B701,'BANG LUONG 1'!$B$4:$AJ$55,12,0)</f>
        <v>27</v>
      </c>
      <c r="C710" s="421">
        <v>10</v>
      </c>
      <c r="D710" s="41"/>
    </row>
    <row r="711" spans="1:5">
      <c r="A711" s="421" t="s">
        <v>534</v>
      </c>
      <c r="B711" s="412">
        <f>VLOOKUP(B701,'BANG LUONG 1'!$B$4:$AJ$55,13,0)</f>
        <v>4583509.615384615</v>
      </c>
      <c r="C711" s="421">
        <v>11</v>
      </c>
      <c r="D711" s="41"/>
    </row>
    <row r="712" spans="1:5">
      <c r="A712" s="421" t="s">
        <v>592</v>
      </c>
      <c r="B712" s="412">
        <f>VLOOKUP(B701,'BANG LUONG 1'!$B$4:$AJ$55,14,0)</f>
        <v>0</v>
      </c>
      <c r="C712" s="421">
        <v>12</v>
      </c>
      <c r="D712" s="41">
        <f>B709/26*B712</f>
        <v>0</v>
      </c>
    </row>
    <row r="713" spans="1:5">
      <c r="A713" s="421" t="s">
        <v>357</v>
      </c>
      <c r="B713" s="412">
        <f>VLOOKUP(B701,'BANG LUONG 1'!$B$4:$AJ$55,15,0)</f>
        <v>0</v>
      </c>
      <c r="C713" s="421">
        <v>13</v>
      </c>
      <c r="D713" s="41">
        <f>B709/26/8*1.5*B713</f>
        <v>0</v>
      </c>
    </row>
    <row r="714" spans="1:5">
      <c r="A714" s="421" t="s">
        <v>387</v>
      </c>
      <c r="B714" s="412">
        <f>VLOOKUP(B701,'BANG LUONG 1'!$B$4:$AJ$55,16,0)</f>
        <v>0</v>
      </c>
      <c r="C714" s="421">
        <v>14</v>
      </c>
      <c r="D714" s="41">
        <f>B709/26/8*2*B714</f>
        <v>0</v>
      </c>
    </row>
    <row r="715" spans="1:5">
      <c r="A715" s="421" t="s">
        <v>593</v>
      </c>
      <c r="B715" s="412">
        <f>VLOOKUP(B701,'BANG LUONG 1'!$B$4:$AJ$55,17,0)</f>
        <v>0</v>
      </c>
      <c r="C715" s="421"/>
      <c r="D715" s="41">
        <f>(B709/26)*B715</f>
        <v>0</v>
      </c>
    </row>
    <row r="716" spans="1:5">
      <c r="A716" s="421" t="s">
        <v>388</v>
      </c>
      <c r="B716" s="412">
        <f>VLOOKUP(B701,'BANG LUONG 1'!$B$4:$AJ$55,18,0)</f>
        <v>0</v>
      </c>
      <c r="C716" s="421">
        <v>15</v>
      </c>
      <c r="D716" s="41">
        <f>(B709/26*B716)*3</f>
        <v>0</v>
      </c>
    </row>
    <row r="717" spans="1:5">
      <c r="A717" s="421" t="s">
        <v>533</v>
      </c>
      <c r="B717" s="412">
        <f>VLOOKUP(B701,'BANG LUONG 1'!$B$4:$AJ$55,19,0)</f>
        <v>4583509.615384615</v>
      </c>
      <c r="C717" s="183">
        <v>16</v>
      </c>
      <c r="D717" s="185">
        <f>B711+D713+D714+D712+D716+D715</f>
        <v>4583509.615384615</v>
      </c>
      <c r="E717" s="108"/>
    </row>
    <row r="718" spans="1:5">
      <c r="A718" s="421" t="s">
        <v>535</v>
      </c>
      <c r="B718" s="412">
        <f>VLOOKUP(B701,'BANG LUONG 1'!$B$4:$AJ$55,20,0)</f>
        <v>-4583509.615384615</v>
      </c>
      <c r="C718" s="421">
        <v>17</v>
      </c>
      <c r="D718" s="41"/>
    </row>
    <row r="719" spans="1:5">
      <c r="A719" s="421" t="s">
        <v>370</v>
      </c>
      <c r="B719" s="412">
        <f>VLOOKUP(B701,'BANG LUONG 1'!$B$4:$AJ$55,22,0)</f>
        <v>132412.5</v>
      </c>
      <c r="C719" s="421">
        <v>18</v>
      </c>
      <c r="D719" s="41"/>
    </row>
    <row r="720" spans="1:5">
      <c r="A720" s="421" t="s">
        <v>371</v>
      </c>
      <c r="B720" s="412">
        <f>VLOOKUP(B701,'BANG LUONG 1'!$B$4:$AJ$55,23,0)</f>
        <v>300000</v>
      </c>
      <c r="C720" s="421">
        <v>19</v>
      </c>
      <c r="D720" s="41"/>
    </row>
    <row r="721" spans="1:5">
      <c r="A721" s="421" t="s">
        <v>560</v>
      </c>
      <c r="B721" s="412">
        <f>VLOOKUP(B701,'BANG LUONG 1'!$B$4:$AJ$55,24,0)</f>
        <v>0</v>
      </c>
      <c r="C721" s="421">
        <v>22</v>
      </c>
      <c r="D721" s="41"/>
    </row>
    <row r="722" spans="1:5">
      <c r="A722" s="183" t="s">
        <v>237</v>
      </c>
      <c r="B722" s="415">
        <f>VLOOKUP(B701,'BANG LUONG 1'!$B$4:$AJ$55,26,0)</f>
        <v>432412.5</v>
      </c>
      <c r="C722" s="421">
        <v>24</v>
      </c>
      <c r="D722" s="41"/>
    </row>
    <row r="723" spans="1:5">
      <c r="A723" s="421" t="s">
        <v>545</v>
      </c>
      <c r="B723" s="412">
        <f>VLOOKUP(B701,'BANG LUONG 1'!$B$4:$AJ$55,27,0)</f>
        <v>4000000</v>
      </c>
      <c r="C723" s="421">
        <v>25</v>
      </c>
      <c r="D723" s="41"/>
    </row>
    <row r="724" spans="1:5">
      <c r="A724" s="421" t="s">
        <v>544</v>
      </c>
      <c r="B724" s="412">
        <f>VLOOKUP(B701,'BANG LUONG 1'!$B$4:$AJ$55,28,0)</f>
        <v>480585</v>
      </c>
      <c r="C724" s="421">
        <v>26</v>
      </c>
      <c r="D724" s="41"/>
    </row>
    <row r="725" spans="1:5">
      <c r="A725" s="421" t="s">
        <v>713</v>
      </c>
      <c r="B725" s="415">
        <f>VLOOKUP(B701,'BANG LUONG 1'!$B$4:$AJ$55,32,0)</f>
        <v>0</v>
      </c>
      <c r="C725" s="421"/>
      <c r="D725" s="41"/>
    </row>
    <row r="726" spans="1:5">
      <c r="A726" s="421" t="s">
        <v>714</v>
      </c>
      <c r="B726" s="415">
        <f>VLOOKUP(B701,'BANG LUONG 1'!$B$4:$AJ$55,33,0)</f>
        <v>0</v>
      </c>
      <c r="C726" s="421"/>
      <c r="D726" s="41"/>
    </row>
    <row r="727" spans="1:5">
      <c r="A727" s="183" t="s">
        <v>707</v>
      </c>
      <c r="B727" s="415">
        <f>VLOOKUP(B701,'BANG LUONG 1'!$B$4:$AJ$55,30,0)</f>
        <v>0</v>
      </c>
      <c r="C727" s="421"/>
      <c r="D727" s="41"/>
      <c r="E727" s="108" t="str">
        <f>B702</f>
        <v>Lê Minh Trọng</v>
      </c>
    </row>
    <row r="728" spans="1:5">
      <c r="A728" s="183" t="s">
        <v>546</v>
      </c>
      <c r="B728" s="415">
        <f>VLOOKUP(B701,'BANG LUONG 1'!$B$4:$AJ$55,35,0)</f>
        <v>-4048000</v>
      </c>
      <c r="C728" s="421"/>
      <c r="D728" s="41"/>
    </row>
    <row r="729" spans="1:5">
      <c r="A729" s="184" t="s">
        <v>549</v>
      </c>
      <c r="B729" s="424">
        <f>'BANG LUONG 1'!$P$2</f>
        <v>43702</v>
      </c>
    </row>
    <row r="730" spans="1:5">
      <c r="A730" s="183" t="s">
        <v>1</v>
      </c>
      <c r="B730" s="185" t="s">
        <v>148</v>
      </c>
      <c r="C730" s="421">
        <v>1</v>
      </c>
      <c r="D730" s="41"/>
    </row>
    <row r="731" spans="1:5">
      <c r="A731" s="183" t="s">
        <v>2</v>
      </c>
      <c r="B731" s="185" t="str">
        <f>VLOOKUP($B730,'BANG LUONG 1'!$B$5:$AB$50,C731,0)</f>
        <v>Nguyễn Văn Lâm</v>
      </c>
      <c r="C731" s="421">
        <v>2</v>
      </c>
      <c r="D731" s="41"/>
    </row>
    <row r="732" spans="1:5">
      <c r="A732" s="421" t="s">
        <v>3</v>
      </c>
      <c r="B732" s="41" t="str">
        <f>VLOOKUP($B730,'BANG LUONG 1'!$B$5:$AJ$50,C732,0)</f>
        <v>Lái xe cơ giới</v>
      </c>
      <c r="C732" s="421">
        <v>3</v>
      </c>
      <c r="D732" s="41"/>
    </row>
    <row r="733" spans="1:5">
      <c r="A733" s="421" t="s">
        <v>376</v>
      </c>
      <c r="B733" s="410">
        <f>VLOOKUP($B730,'BANG LUONG 1'!$B$4:$AJ$55,4,0)</f>
        <v>41956</v>
      </c>
      <c r="C733" s="421">
        <v>4</v>
      </c>
      <c r="D733" s="41"/>
    </row>
    <row r="734" spans="1:5">
      <c r="A734" s="421" t="s">
        <v>698</v>
      </c>
      <c r="B734" s="411">
        <f>VLOOKUP(B730,'BANG LUONG 1'!$B$4:$AJ$55,6,0)</f>
        <v>0.04</v>
      </c>
      <c r="C734" s="421">
        <v>5</v>
      </c>
      <c r="D734" s="41"/>
    </row>
    <row r="735" spans="1:5">
      <c r="A735" s="421" t="s">
        <v>229</v>
      </c>
      <c r="B735" s="412">
        <f>'thang luong moi'!$F$5</f>
        <v>4012500</v>
      </c>
      <c r="C735" s="421">
        <v>6</v>
      </c>
      <c r="D735" s="41"/>
    </row>
    <row r="736" spans="1:5">
      <c r="A736" s="421" t="s">
        <v>217</v>
      </c>
      <c r="B736" s="412" t="str">
        <f>VLOOKUP(B730,'BANG LUONG 1'!$B$4:$AJ$55,8,0)</f>
        <v>B.02</v>
      </c>
      <c r="C736" s="421">
        <v>7</v>
      </c>
      <c r="D736" s="41"/>
    </row>
    <row r="737" spans="1:5">
      <c r="A737" s="421" t="s">
        <v>230</v>
      </c>
      <c r="B737" s="412">
        <f>VLOOKUP(B730,'BANG LUONG 1'!$B$4:$AJ$55,9,0)</f>
        <v>1</v>
      </c>
      <c r="C737" s="421">
        <v>8</v>
      </c>
      <c r="D737" s="41"/>
    </row>
    <row r="738" spans="1:5">
      <c r="A738" s="421" t="s">
        <v>538</v>
      </c>
      <c r="B738" s="412">
        <f>VLOOKUP(B730,'BANG LUONG 1'!$B$4:$AJ$55,11,0)</f>
        <v>4413750</v>
      </c>
      <c r="C738" s="421">
        <v>9</v>
      </c>
      <c r="D738" s="41"/>
    </row>
    <row r="739" spans="1:5">
      <c r="A739" s="421" t="s">
        <v>354</v>
      </c>
      <c r="B739" s="412">
        <f>VLOOKUP(B730,'BANG LUONG 1'!$B$4:$AJ$55,12,0)</f>
        <v>27</v>
      </c>
      <c r="C739" s="421">
        <v>10</v>
      </c>
      <c r="D739" s="41"/>
    </row>
    <row r="740" spans="1:5">
      <c r="A740" s="421" t="s">
        <v>534</v>
      </c>
      <c r="B740" s="412">
        <f>VLOOKUP(B730,'BANG LUONG 1'!$B$4:$AJ$55,13,0)</f>
        <v>4583509.615384615</v>
      </c>
      <c r="C740" s="421">
        <v>11</v>
      </c>
      <c r="D740" s="41"/>
    </row>
    <row r="741" spans="1:5">
      <c r="A741" s="421" t="s">
        <v>592</v>
      </c>
      <c r="B741" s="412">
        <f>VLOOKUP(B730,'BANG LUONG 1'!$B$4:$AJ$55,14,0)</f>
        <v>0</v>
      </c>
      <c r="C741" s="421">
        <v>12</v>
      </c>
      <c r="D741" s="41">
        <f>B738/26*B741</f>
        <v>0</v>
      </c>
    </row>
    <row r="742" spans="1:5">
      <c r="A742" s="421" t="s">
        <v>357</v>
      </c>
      <c r="B742" s="412">
        <f>VLOOKUP(B730,'BANG LUONG 1'!$B$4:$AJ$55,15,0)</f>
        <v>0</v>
      </c>
      <c r="C742" s="421">
        <v>13</v>
      </c>
      <c r="D742" s="41">
        <f>B738/26/8*1.5*B742</f>
        <v>0</v>
      </c>
    </row>
    <row r="743" spans="1:5">
      <c r="A743" s="421" t="s">
        <v>387</v>
      </c>
      <c r="B743" s="412">
        <f>VLOOKUP(B730,'BANG LUONG 1'!$B$4:$AJ$55,16,0)</f>
        <v>0</v>
      </c>
      <c r="C743" s="421">
        <v>14</v>
      </c>
      <c r="D743" s="41">
        <f>B738/26/8*2*B743</f>
        <v>0</v>
      </c>
    </row>
    <row r="744" spans="1:5">
      <c r="A744" s="421" t="s">
        <v>593</v>
      </c>
      <c r="B744" s="412">
        <f>VLOOKUP(B730,'BANG LUONG 1'!$B$4:$AJ$55,17,0)</f>
        <v>0</v>
      </c>
      <c r="C744" s="421"/>
      <c r="D744" s="41">
        <f>(B738/26)*B744</f>
        <v>0</v>
      </c>
    </row>
    <row r="745" spans="1:5">
      <c r="A745" s="421" t="s">
        <v>388</v>
      </c>
      <c r="B745" s="412">
        <f>VLOOKUP(B730,'BANG LUONG 1'!$B$4:$AJ$55,18,0)</f>
        <v>0</v>
      </c>
      <c r="C745" s="421">
        <v>15</v>
      </c>
      <c r="D745" s="41">
        <f>(B738/26*B745)*3</f>
        <v>0</v>
      </c>
    </row>
    <row r="746" spans="1:5">
      <c r="A746" s="421" t="s">
        <v>533</v>
      </c>
      <c r="B746" s="412">
        <f>VLOOKUP(B730,'BANG LUONG 1'!$B$4:$AJ$55,19,0)</f>
        <v>4583509.615384615</v>
      </c>
      <c r="C746" s="183">
        <v>16</v>
      </c>
      <c r="D746" s="185">
        <f>B740+D742+D743+D741+D745+D744</f>
        <v>4583509.615384615</v>
      </c>
      <c r="E746" s="108"/>
    </row>
    <row r="747" spans="1:5">
      <c r="A747" s="421" t="s">
        <v>535</v>
      </c>
      <c r="B747" s="412">
        <f>VLOOKUP(B730,'BANG LUONG 1'!$B$4:$AJ$55,20,0)</f>
        <v>-4583509.615384615</v>
      </c>
      <c r="C747" s="421">
        <v>17</v>
      </c>
      <c r="D747" s="41"/>
    </row>
    <row r="748" spans="1:5">
      <c r="A748" s="421" t="s">
        <v>370</v>
      </c>
      <c r="B748" s="412">
        <f>VLOOKUP(B730,'BANG LUONG 1'!$B$4:$AJ$55,22,0)</f>
        <v>176550</v>
      </c>
      <c r="C748" s="421">
        <v>18</v>
      </c>
      <c r="D748" s="41"/>
    </row>
    <row r="749" spans="1:5">
      <c r="A749" s="421" t="s">
        <v>371</v>
      </c>
      <c r="B749" s="412">
        <f>VLOOKUP(B730,'BANG LUONG 1'!$B$4:$AJ$55,23,0)</f>
        <v>300000</v>
      </c>
      <c r="C749" s="421">
        <v>19</v>
      </c>
      <c r="D749" s="41"/>
    </row>
    <row r="750" spans="1:5">
      <c r="A750" s="421" t="s">
        <v>560</v>
      </c>
      <c r="B750" s="412">
        <f>VLOOKUP(B730,'BANG LUONG 1'!$B$4:$AJ$55,24,0)</f>
        <v>0</v>
      </c>
      <c r="C750" s="421">
        <v>22</v>
      </c>
      <c r="D750" s="41"/>
    </row>
    <row r="751" spans="1:5">
      <c r="A751" s="183" t="s">
        <v>237</v>
      </c>
      <c r="B751" s="415">
        <f>VLOOKUP(B730,'BANG LUONG 1'!$B$4:$AJ$55,26,0)</f>
        <v>476550</v>
      </c>
      <c r="C751" s="421">
        <v>24</v>
      </c>
      <c r="D751" s="41"/>
    </row>
    <row r="752" spans="1:5">
      <c r="A752" s="421" t="s">
        <v>545</v>
      </c>
      <c r="B752" s="412">
        <f>VLOOKUP(B730,'BANG LUONG 1'!$B$4:$AJ$55,27,0)</f>
        <v>3500000</v>
      </c>
      <c r="C752" s="421">
        <v>25</v>
      </c>
      <c r="D752" s="41"/>
    </row>
    <row r="753" spans="1:5">
      <c r="A753" s="421" t="s">
        <v>544</v>
      </c>
      <c r="B753" s="412">
        <f>VLOOKUP(B730,'BANG LUONG 1'!$B$4:$AJ$55,28,0)</f>
        <v>480585</v>
      </c>
      <c r="C753" s="421">
        <v>26</v>
      </c>
      <c r="D753" s="41"/>
    </row>
    <row r="754" spans="1:5">
      <c r="A754" s="421" t="s">
        <v>713</v>
      </c>
      <c r="B754" s="415">
        <f>VLOOKUP(B730,'BANG LUONG 1'!$B$4:$AJ$55,32,0)</f>
        <v>0</v>
      </c>
      <c r="C754" s="421"/>
      <c r="D754" s="41"/>
    </row>
    <row r="755" spans="1:5">
      <c r="A755" s="421" t="s">
        <v>714</v>
      </c>
      <c r="B755" s="415">
        <f>VLOOKUP(B730,'BANG LUONG 1'!$B$4:$AJ$55,33,0)</f>
        <v>0</v>
      </c>
      <c r="C755" s="421"/>
      <c r="D755" s="41"/>
    </row>
    <row r="756" spans="1:5">
      <c r="A756" s="183" t="s">
        <v>707</v>
      </c>
      <c r="B756" s="415">
        <f>VLOOKUP(B730,'BANG LUONG 1'!$B$4:$AJ$55,30,0)</f>
        <v>0</v>
      </c>
      <c r="C756" s="421"/>
      <c r="D756" s="41"/>
      <c r="E756" s="108" t="str">
        <f>B731</f>
        <v>Nguyễn Văn Lâm</v>
      </c>
    </row>
    <row r="757" spans="1:5">
      <c r="A757" s="183" t="s">
        <v>546</v>
      </c>
      <c r="B757" s="415">
        <f>VLOOKUP(B730,'BANG LUONG 1'!$B$4:$AJ$55,35,0)</f>
        <v>-3504000</v>
      </c>
      <c r="C757" s="421"/>
      <c r="D757" s="41"/>
    </row>
    <row r="758" spans="1:5">
      <c r="A758" s="184" t="s">
        <v>549</v>
      </c>
      <c r="B758" s="424">
        <f>'BANG LUONG 1'!$P$2</f>
        <v>43702</v>
      </c>
    </row>
    <row r="759" spans="1:5">
      <c r="A759" s="183" t="s">
        <v>1</v>
      </c>
      <c r="B759" s="185" t="s">
        <v>149</v>
      </c>
      <c r="C759" s="421">
        <v>1</v>
      </c>
      <c r="D759" s="41"/>
    </row>
    <row r="760" spans="1:5">
      <c r="A760" s="183" t="s">
        <v>2</v>
      </c>
      <c r="B760" s="185" t="str">
        <f>VLOOKUP($B759,'BANG LUONG 1'!$B$5:$AB$50,C760,0)</f>
        <v>Lương Minh Tâm</v>
      </c>
      <c r="C760" s="421">
        <v>2</v>
      </c>
      <c r="D760" s="41"/>
    </row>
    <row r="761" spans="1:5">
      <c r="A761" s="421" t="s">
        <v>3</v>
      </c>
      <c r="B761" s="41" t="str">
        <f>VLOOKUP($B759,'BANG LUONG 1'!$B$5:$AJ$50,C761,0)</f>
        <v>Vận hành xe xúc BH</v>
      </c>
      <c r="C761" s="421">
        <v>3</v>
      </c>
      <c r="D761" s="41"/>
    </row>
    <row r="762" spans="1:5">
      <c r="A762" s="421" t="s">
        <v>376</v>
      </c>
      <c r="B762" s="410">
        <f>VLOOKUP($B759,'BANG LUONG 1'!$B$4:$AJ$55,4,0)</f>
        <v>42766</v>
      </c>
      <c r="C762" s="421">
        <v>4</v>
      </c>
      <c r="D762" s="41"/>
    </row>
    <row r="763" spans="1:5">
      <c r="A763" s="421" t="s">
        <v>698</v>
      </c>
      <c r="B763" s="411">
        <f>VLOOKUP(B759,'BANG LUONG 1'!$B$4:$AJ$55,6,0)</f>
        <v>0</v>
      </c>
      <c r="C763" s="421">
        <v>5</v>
      </c>
      <c r="D763" s="41"/>
    </row>
    <row r="764" spans="1:5">
      <c r="A764" s="421" t="s">
        <v>229</v>
      </c>
      <c r="B764" s="412">
        <f>'thang luong moi'!$F$5</f>
        <v>4012500</v>
      </c>
      <c r="C764" s="421">
        <v>6</v>
      </c>
      <c r="D764" s="41"/>
    </row>
    <row r="765" spans="1:5">
      <c r="A765" s="421" t="s">
        <v>217</v>
      </c>
      <c r="B765" s="412" t="str">
        <f>VLOOKUP(B759,'BANG LUONG 1'!$B$4:$AJ$55,8,0)</f>
        <v>B.02</v>
      </c>
      <c r="C765" s="421">
        <v>7</v>
      </c>
      <c r="D765" s="41"/>
    </row>
    <row r="766" spans="1:5">
      <c r="A766" s="421" t="s">
        <v>230</v>
      </c>
      <c r="B766" s="412">
        <f>VLOOKUP(B759,'BANG LUONG 1'!$B$4:$AJ$55,9,0)</f>
        <v>1</v>
      </c>
      <c r="C766" s="421">
        <v>8</v>
      </c>
      <c r="D766" s="41"/>
    </row>
    <row r="767" spans="1:5">
      <c r="A767" s="421" t="s">
        <v>538</v>
      </c>
      <c r="B767" s="412">
        <f>VLOOKUP(B759,'BANG LUONG 1'!$B$4:$AJ$55,11,0)</f>
        <v>4413750</v>
      </c>
      <c r="C767" s="421">
        <v>9</v>
      </c>
      <c r="D767" s="41"/>
    </row>
    <row r="768" spans="1:5">
      <c r="A768" s="421" t="s">
        <v>354</v>
      </c>
      <c r="B768" s="412">
        <f>VLOOKUP(B759,'BANG LUONG 1'!$B$4:$AJ$55,12,0)</f>
        <v>27</v>
      </c>
      <c r="C768" s="421">
        <v>10</v>
      </c>
      <c r="D768" s="41"/>
    </row>
    <row r="769" spans="1:5">
      <c r="A769" s="421" t="s">
        <v>534</v>
      </c>
      <c r="B769" s="412">
        <f>VLOOKUP(B759,'BANG LUONG 1'!$B$4:$AJ$55,13,0)</f>
        <v>4583509.615384615</v>
      </c>
      <c r="C769" s="421">
        <v>11</v>
      </c>
      <c r="D769" s="41"/>
    </row>
    <row r="770" spans="1:5">
      <c r="A770" s="421" t="s">
        <v>592</v>
      </c>
      <c r="B770" s="412">
        <f>VLOOKUP(B759,'BANG LUONG 1'!$B$4:$AJ$55,14,0)</f>
        <v>0</v>
      </c>
      <c r="C770" s="421">
        <v>12</v>
      </c>
      <c r="D770" s="41">
        <f>B767/26*B770</f>
        <v>0</v>
      </c>
    </row>
    <row r="771" spans="1:5">
      <c r="A771" s="421" t="s">
        <v>357</v>
      </c>
      <c r="B771" s="412">
        <f>VLOOKUP(B759,'BANG LUONG 1'!$B$4:$AJ$55,15,0)</f>
        <v>0</v>
      </c>
      <c r="C771" s="421">
        <v>13</v>
      </c>
      <c r="D771" s="41">
        <f>B767/26/8*1.5*B771</f>
        <v>0</v>
      </c>
    </row>
    <row r="772" spans="1:5">
      <c r="A772" s="421" t="s">
        <v>387</v>
      </c>
      <c r="B772" s="412">
        <f>VLOOKUP(B759,'BANG LUONG 1'!$B$4:$AJ$55,16,0)</f>
        <v>0</v>
      </c>
      <c r="C772" s="421">
        <v>14</v>
      </c>
      <c r="D772" s="41">
        <f>B767/26/8*2*B772</f>
        <v>0</v>
      </c>
    </row>
    <row r="773" spans="1:5">
      <c r="A773" s="421" t="s">
        <v>593</v>
      </c>
      <c r="B773" s="412">
        <f>VLOOKUP(B759,'BANG LUONG 1'!$B$4:$AJ$55,17,0)</f>
        <v>0</v>
      </c>
      <c r="C773" s="421"/>
      <c r="D773" s="41">
        <f>(B767/26)*B773</f>
        <v>0</v>
      </c>
    </row>
    <row r="774" spans="1:5">
      <c r="A774" s="421" t="s">
        <v>388</v>
      </c>
      <c r="B774" s="412">
        <f>VLOOKUP(B759,'BANG LUONG 1'!$B$4:$AJ$55,18,0)</f>
        <v>0</v>
      </c>
      <c r="C774" s="421">
        <v>15</v>
      </c>
      <c r="D774" s="41">
        <f>(B767/26*B774)*3</f>
        <v>0</v>
      </c>
    </row>
    <row r="775" spans="1:5">
      <c r="A775" s="421" t="s">
        <v>533</v>
      </c>
      <c r="B775" s="412">
        <f>VLOOKUP(B759,'BANG LUONG 1'!$B$4:$AJ$55,19,0)</f>
        <v>4583509.615384615</v>
      </c>
      <c r="C775" s="183">
        <v>16</v>
      </c>
      <c r="D775" s="185">
        <f>B769+D771+D772+D770+D774+D773</f>
        <v>4583509.615384615</v>
      </c>
      <c r="E775" s="108"/>
    </row>
    <row r="776" spans="1:5">
      <c r="A776" s="421" t="s">
        <v>535</v>
      </c>
      <c r="B776" s="412">
        <f>VLOOKUP(B759,'BANG LUONG 1'!$B$4:$AJ$55,20,0)</f>
        <v>-4583509.615384615</v>
      </c>
      <c r="C776" s="421">
        <v>17</v>
      </c>
      <c r="D776" s="41"/>
    </row>
    <row r="777" spans="1:5">
      <c r="A777" s="421" t="s">
        <v>370</v>
      </c>
      <c r="B777" s="412">
        <f>VLOOKUP(B759,'BANG LUONG 1'!$B$4:$AJ$55,22,0)</f>
        <v>0</v>
      </c>
      <c r="C777" s="421">
        <v>18</v>
      </c>
      <c r="D777" s="41"/>
    </row>
    <row r="778" spans="1:5">
      <c r="A778" s="421" t="s">
        <v>371</v>
      </c>
      <c r="B778" s="412">
        <f>VLOOKUP(B759,'BANG LUONG 1'!$B$4:$AJ$55,23,0)</f>
        <v>300000</v>
      </c>
      <c r="C778" s="421">
        <v>19</v>
      </c>
      <c r="D778" s="41"/>
    </row>
    <row r="779" spans="1:5">
      <c r="A779" s="421" t="s">
        <v>560</v>
      </c>
      <c r="B779" s="412">
        <f>VLOOKUP(B759,'BANG LUONG 1'!$B$4:$AJ$55,24,0)</f>
        <v>0</v>
      </c>
      <c r="C779" s="421">
        <v>22</v>
      </c>
      <c r="D779" s="41"/>
    </row>
    <row r="780" spans="1:5">
      <c r="A780" s="183" t="s">
        <v>237</v>
      </c>
      <c r="B780" s="415">
        <f>VLOOKUP(B759,'BANG LUONG 1'!$B$4:$AJ$55,26,0)</f>
        <v>300000</v>
      </c>
      <c r="C780" s="421">
        <v>24</v>
      </c>
      <c r="D780" s="41"/>
    </row>
    <row r="781" spans="1:5">
      <c r="A781" s="421" t="s">
        <v>545</v>
      </c>
      <c r="B781" s="412">
        <f>VLOOKUP(B759,'BANG LUONG 1'!$B$4:$AJ$55,27,0)</f>
        <v>4000000</v>
      </c>
      <c r="C781" s="421">
        <v>25</v>
      </c>
      <c r="D781" s="41"/>
    </row>
    <row r="782" spans="1:5">
      <c r="A782" s="421" t="s">
        <v>544</v>
      </c>
      <c r="B782" s="412">
        <f>VLOOKUP(B759,'BANG LUONG 1'!$B$4:$AJ$55,28,0)</f>
        <v>480585</v>
      </c>
      <c r="C782" s="421">
        <v>26</v>
      </c>
      <c r="D782" s="41"/>
    </row>
    <row r="783" spans="1:5">
      <c r="A783" s="421" t="s">
        <v>713</v>
      </c>
      <c r="B783" s="415">
        <f>VLOOKUP(B759,'BANG LUONG 1'!$B$4:$AJ$55,32,0)</f>
        <v>0</v>
      </c>
      <c r="C783" s="421"/>
      <c r="D783" s="41"/>
    </row>
    <row r="784" spans="1:5">
      <c r="A784" s="421" t="s">
        <v>714</v>
      </c>
      <c r="B784" s="415">
        <f>VLOOKUP(B759,'BANG LUONG 1'!$B$4:$AJ$55,33,0)</f>
        <v>0</v>
      </c>
      <c r="C784" s="421"/>
      <c r="D784" s="41"/>
    </row>
    <row r="785" spans="1:5">
      <c r="A785" s="183" t="s">
        <v>707</v>
      </c>
      <c r="B785" s="415">
        <f>VLOOKUP(B759,'BANG LUONG 1'!$B$4:$AJ$55,30,0)</f>
        <v>0</v>
      </c>
      <c r="C785" s="421"/>
      <c r="D785" s="41"/>
      <c r="E785" s="108" t="str">
        <f>B760</f>
        <v>Lương Minh Tâm</v>
      </c>
    </row>
    <row r="786" spans="1:5">
      <c r="A786" s="183" t="s">
        <v>546</v>
      </c>
      <c r="B786" s="415">
        <f>VLOOKUP(B759,'BANG LUONG 1'!$B$4:$AJ$55,35,0)</f>
        <v>-4181000</v>
      </c>
      <c r="C786" s="421"/>
      <c r="D786" s="41"/>
    </row>
    <row r="787" spans="1:5">
      <c r="A787" s="184" t="s">
        <v>549</v>
      </c>
      <c r="B787" s="424">
        <f>'BANG LUONG 1'!$P$2</f>
        <v>43702</v>
      </c>
    </row>
    <row r="788" spans="1:5">
      <c r="A788" s="183" t="s">
        <v>1</v>
      </c>
      <c r="B788" s="185" t="s">
        <v>150</v>
      </c>
      <c r="C788" s="421">
        <v>1</v>
      </c>
      <c r="D788" s="41"/>
    </row>
    <row r="789" spans="1:5">
      <c r="A789" s="183" t="s">
        <v>2</v>
      </c>
      <c r="B789" s="185" t="str">
        <f>VLOOKUP($B788,'BANG LUONG 1'!$B$5:$AB$50,C789,0)</f>
        <v>Nguyễn Thành Tài</v>
      </c>
      <c r="C789" s="421">
        <v>2</v>
      </c>
      <c r="D789" s="41"/>
    </row>
    <row r="790" spans="1:5">
      <c r="A790" s="421" t="s">
        <v>3</v>
      </c>
      <c r="B790" s="41" t="str">
        <f>VLOOKUP($B788,'BANG LUONG 1'!$B$5:$AJ$50,C790,0)</f>
        <v>Lái xe nâng</v>
      </c>
      <c r="C790" s="421">
        <v>3</v>
      </c>
      <c r="D790" s="41"/>
    </row>
    <row r="791" spans="1:5">
      <c r="A791" s="421" t="s">
        <v>376</v>
      </c>
      <c r="B791" s="410">
        <f>VLOOKUP($B788,'BANG LUONG 1'!$B$4:$AJ$55,4,0)</f>
        <v>42415</v>
      </c>
      <c r="C791" s="421">
        <v>4</v>
      </c>
      <c r="D791" s="41"/>
    </row>
    <row r="792" spans="1:5">
      <c r="A792" s="421" t="s">
        <v>698</v>
      </c>
      <c r="B792" s="411">
        <f>VLOOKUP(B788,'BANG LUONG 1'!$B$4:$AJ$55,6,0)</f>
        <v>0.03</v>
      </c>
      <c r="C792" s="421">
        <v>5</v>
      </c>
      <c r="D792" s="41"/>
    </row>
    <row r="793" spans="1:5">
      <c r="A793" s="421" t="s">
        <v>229</v>
      </c>
      <c r="B793" s="412">
        <f>'thang luong moi'!$F$5</f>
        <v>4012500</v>
      </c>
      <c r="C793" s="421">
        <v>6</v>
      </c>
      <c r="D793" s="41"/>
    </row>
    <row r="794" spans="1:5">
      <c r="A794" s="421" t="s">
        <v>217</v>
      </c>
      <c r="B794" s="412" t="str">
        <f>VLOOKUP(B788,'BANG LUONG 1'!$B$4:$AJ$55,8,0)</f>
        <v>B.02</v>
      </c>
      <c r="C794" s="421">
        <v>7</v>
      </c>
      <c r="D794" s="41"/>
    </row>
    <row r="795" spans="1:5">
      <c r="A795" s="421" t="s">
        <v>230</v>
      </c>
      <c r="B795" s="412">
        <f>VLOOKUP(B788,'BANG LUONG 1'!$B$4:$AJ$55,9,0)</f>
        <v>1</v>
      </c>
      <c r="C795" s="421">
        <v>8</v>
      </c>
      <c r="D795" s="41"/>
    </row>
    <row r="796" spans="1:5">
      <c r="A796" s="421" t="s">
        <v>538</v>
      </c>
      <c r="B796" s="412">
        <f>VLOOKUP(B788,'BANG LUONG 1'!$B$4:$AJ$55,11,0)</f>
        <v>4413750</v>
      </c>
      <c r="C796" s="421">
        <v>9</v>
      </c>
      <c r="D796" s="41"/>
    </row>
    <row r="797" spans="1:5">
      <c r="A797" s="421" t="s">
        <v>354</v>
      </c>
      <c r="B797" s="412">
        <f>VLOOKUP(B788,'BANG LUONG 1'!$B$4:$AJ$55,12,0)</f>
        <v>27</v>
      </c>
      <c r="C797" s="421">
        <v>10</v>
      </c>
      <c r="D797" s="41"/>
    </row>
    <row r="798" spans="1:5">
      <c r="A798" s="421" t="s">
        <v>534</v>
      </c>
      <c r="B798" s="412">
        <f>VLOOKUP(B788,'BANG LUONG 1'!$B$4:$AJ$55,13,0)</f>
        <v>4583509.615384615</v>
      </c>
      <c r="C798" s="421">
        <v>11</v>
      </c>
      <c r="D798" s="41"/>
    </row>
    <row r="799" spans="1:5">
      <c r="A799" s="421" t="s">
        <v>592</v>
      </c>
      <c r="B799" s="412">
        <f>VLOOKUP(B788,'BANG LUONG 1'!$B$4:$AJ$55,14,0)</f>
        <v>0</v>
      </c>
      <c r="C799" s="421">
        <v>12</v>
      </c>
      <c r="D799" s="41">
        <f>B796/26*B799</f>
        <v>0</v>
      </c>
    </row>
    <row r="800" spans="1:5">
      <c r="A800" s="421" t="s">
        <v>357</v>
      </c>
      <c r="B800" s="412">
        <f>VLOOKUP(B788,'BANG LUONG 1'!$B$4:$AJ$55,15,0)</f>
        <v>0</v>
      </c>
      <c r="C800" s="421">
        <v>13</v>
      </c>
      <c r="D800" s="41">
        <f>B796/26/8*1.5*B800</f>
        <v>0</v>
      </c>
    </row>
    <row r="801" spans="1:5">
      <c r="A801" s="421" t="s">
        <v>387</v>
      </c>
      <c r="B801" s="412">
        <f>VLOOKUP(B788,'BANG LUONG 1'!$B$4:$AJ$55,16,0)</f>
        <v>0</v>
      </c>
      <c r="C801" s="421">
        <v>14</v>
      </c>
      <c r="D801" s="41">
        <f>B796/26/8*2*B801</f>
        <v>0</v>
      </c>
    </row>
    <row r="802" spans="1:5">
      <c r="A802" s="421" t="s">
        <v>593</v>
      </c>
      <c r="B802" s="412">
        <f>VLOOKUP(B788,'BANG LUONG 1'!$B$4:$AJ$55,17,0)</f>
        <v>0</v>
      </c>
      <c r="C802" s="421"/>
      <c r="D802" s="41">
        <f>(B796/26)*B802</f>
        <v>0</v>
      </c>
    </row>
    <row r="803" spans="1:5">
      <c r="A803" s="421" t="s">
        <v>388</v>
      </c>
      <c r="B803" s="412">
        <f>VLOOKUP(B788,'BANG LUONG 1'!$B$4:$AJ$55,18,0)</f>
        <v>0</v>
      </c>
      <c r="C803" s="421">
        <v>15</v>
      </c>
      <c r="D803" s="41">
        <f>(B796/26*B803)*3</f>
        <v>0</v>
      </c>
    </row>
    <row r="804" spans="1:5">
      <c r="A804" s="421" t="s">
        <v>533</v>
      </c>
      <c r="B804" s="412">
        <f>VLOOKUP(B788,'BANG LUONG 1'!$B$4:$AJ$55,19,0)</f>
        <v>4583509.615384615</v>
      </c>
      <c r="C804" s="183">
        <v>16</v>
      </c>
      <c r="D804" s="185">
        <f>B798+D800+D801+D799+D803+D802</f>
        <v>4583509.615384615</v>
      </c>
      <c r="E804" s="108"/>
    </row>
    <row r="805" spans="1:5">
      <c r="A805" s="421" t="s">
        <v>535</v>
      </c>
      <c r="B805" s="412">
        <f>VLOOKUP(B788,'BANG LUONG 1'!$B$4:$AJ$55,20,0)</f>
        <v>-4583509.615384615</v>
      </c>
      <c r="C805" s="421">
        <v>17</v>
      </c>
      <c r="D805" s="41"/>
    </row>
    <row r="806" spans="1:5">
      <c r="A806" s="421" t="s">
        <v>370</v>
      </c>
      <c r="B806" s="412">
        <f>VLOOKUP(B788,'BANG LUONG 1'!$B$4:$AJ$55,22,0)</f>
        <v>132412.5</v>
      </c>
      <c r="C806" s="421">
        <v>18</v>
      </c>
      <c r="D806" s="41"/>
    </row>
    <row r="807" spans="1:5">
      <c r="A807" s="421" t="s">
        <v>371</v>
      </c>
      <c r="B807" s="412">
        <f>VLOOKUP(B788,'BANG LUONG 1'!$B$4:$AJ$55,23,0)</f>
        <v>300000</v>
      </c>
      <c r="C807" s="421">
        <v>19</v>
      </c>
      <c r="D807" s="41"/>
    </row>
    <row r="808" spans="1:5">
      <c r="A808" s="421" t="s">
        <v>560</v>
      </c>
      <c r="B808" s="412">
        <f>VLOOKUP(B788,'BANG LUONG 1'!$B$4:$AJ$55,24,0)</f>
        <v>0</v>
      </c>
      <c r="C808" s="421">
        <v>22</v>
      </c>
      <c r="D808" s="41"/>
    </row>
    <row r="809" spans="1:5">
      <c r="A809" s="183" t="s">
        <v>237</v>
      </c>
      <c r="B809" s="415">
        <f>VLOOKUP(B788,'BANG LUONG 1'!$B$4:$AJ$55,26,0)</f>
        <v>432412.5</v>
      </c>
      <c r="C809" s="421">
        <v>24</v>
      </c>
      <c r="D809" s="41"/>
    </row>
    <row r="810" spans="1:5">
      <c r="A810" s="421" t="s">
        <v>545</v>
      </c>
      <c r="B810" s="412">
        <f>VLOOKUP(B788,'BANG LUONG 1'!$B$4:$AJ$55,27,0)</f>
        <v>0</v>
      </c>
      <c r="C810" s="421">
        <v>25</v>
      </c>
      <c r="D810" s="41"/>
    </row>
    <row r="811" spans="1:5">
      <c r="A811" s="421" t="s">
        <v>544</v>
      </c>
      <c r="B811" s="412">
        <f>VLOOKUP(B788,'BANG LUONG 1'!$B$4:$AJ$55,28,0)</f>
        <v>480585</v>
      </c>
      <c r="C811" s="421">
        <v>26</v>
      </c>
      <c r="D811" s="41"/>
    </row>
    <row r="812" spans="1:5">
      <c r="A812" s="421" t="s">
        <v>713</v>
      </c>
      <c r="B812" s="415">
        <f>VLOOKUP(B788,'BANG LUONG 1'!$B$4:$AJ$55,32,0)</f>
        <v>0</v>
      </c>
      <c r="C812" s="421"/>
      <c r="D812" s="41"/>
    </row>
    <row r="813" spans="1:5">
      <c r="A813" s="421" t="s">
        <v>714</v>
      </c>
      <c r="B813" s="415">
        <f>VLOOKUP(B788,'BANG LUONG 1'!$B$4:$AJ$55,33,0)</f>
        <v>0</v>
      </c>
      <c r="C813" s="421"/>
      <c r="D813" s="41"/>
    </row>
    <row r="814" spans="1:5">
      <c r="A814" s="183" t="s">
        <v>707</v>
      </c>
      <c r="B814" s="415">
        <f>VLOOKUP(B788,'BANG LUONG 1'!$B$4:$AJ$55,30,0)</f>
        <v>0</v>
      </c>
      <c r="C814" s="421"/>
      <c r="D814" s="41"/>
      <c r="E814" s="108" t="str">
        <f>B789</f>
        <v>Nguyễn Thành Tài</v>
      </c>
    </row>
    <row r="815" spans="1:5">
      <c r="A815" s="183" t="s">
        <v>546</v>
      </c>
      <c r="B815" s="415">
        <f>VLOOKUP(B788,'BANG LUONG 1'!$B$4:$AJ$55,35,0)</f>
        <v>-48000</v>
      </c>
      <c r="C815" s="421"/>
      <c r="D815" s="41"/>
    </row>
    <row r="816" spans="1:5">
      <c r="A816" s="184" t="s">
        <v>549</v>
      </c>
      <c r="B816" s="424">
        <f>'BANG LUONG 1'!$P$2</f>
        <v>43702</v>
      </c>
    </row>
    <row r="817" spans="1:4">
      <c r="A817" s="183" t="s">
        <v>1</v>
      </c>
      <c r="B817" s="185" t="s">
        <v>151</v>
      </c>
      <c r="C817" s="421">
        <v>1</v>
      </c>
      <c r="D817" s="41"/>
    </row>
    <row r="818" spans="1:4">
      <c r="A818" s="183" t="s">
        <v>2</v>
      </c>
      <c r="B818" s="185" t="str">
        <f>VLOOKUP($B817,'BANG LUONG 1'!$B$5:$AB$50,C818,0)</f>
        <v>Nguyễn Văn Mèo</v>
      </c>
      <c r="C818" s="421">
        <v>2</v>
      </c>
      <c r="D818" s="41"/>
    </row>
    <row r="819" spans="1:4">
      <c r="A819" s="421" t="s">
        <v>3</v>
      </c>
      <c r="B819" s="41" t="str">
        <f>VLOOKUP($B817,'BANG LUONG 1'!$B$5:$AJ$50,C819,0)</f>
        <v>Công nhân</v>
      </c>
      <c r="C819" s="421">
        <v>3</v>
      </c>
      <c r="D819" s="41"/>
    </row>
    <row r="820" spans="1:4">
      <c r="A820" s="421" t="s">
        <v>376</v>
      </c>
      <c r="B820" s="410">
        <f>VLOOKUP($B817,'BANG LUONG 1'!$B$4:$AJ$55,4,0)</f>
        <v>43177</v>
      </c>
      <c r="C820" s="421">
        <v>4</v>
      </c>
      <c r="D820" s="41"/>
    </row>
    <row r="821" spans="1:4">
      <c r="A821" s="421" t="s">
        <v>698</v>
      </c>
      <c r="B821" s="411">
        <f>VLOOKUP(B817,'BANG LUONG 1'!$B$4:$AJ$55,6,0)</f>
        <v>0</v>
      </c>
      <c r="C821" s="421">
        <v>5</v>
      </c>
      <c r="D821" s="41"/>
    </row>
    <row r="822" spans="1:4">
      <c r="A822" s="421" t="s">
        <v>229</v>
      </c>
      <c r="B822" s="412">
        <f>'thang luong moi'!$F$5</f>
        <v>4012500</v>
      </c>
      <c r="C822" s="421">
        <v>6</v>
      </c>
      <c r="D822" s="41"/>
    </row>
    <row r="823" spans="1:4">
      <c r="A823" s="421" t="s">
        <v>217</v>
      </c>
      <c r="B823" s="412" t="str">
        <f>VLOOKUP(B817,'BANG LUONG 1'!$B$4:$AJ$55,8,0)</f>
        <v>B.05</v>
      </c>
      <c r="C823" s="421">
        <v>7</v>
      </c>
      <c r="D823" s="41"/>
    </row>
    <row r="824" spans="1:4">
      <c r="A824" s="421" t="s">
        <v>230</v>
      </c>
      <c r="B824" s="412">
        <f>VLOOKUP(B817,'BANG LUONG 1'!$B$4:$AJ$55,9,0)</f>
        <v>1</v>
      </c>
      <c r="C824" s="421">
        <v>8</v>
      </c>
      <c r="D824" s="41"/>
    </row>
    <row r="825" spans="1:4">
      <c r="A825" s="421" t="s">
        <v>538</v>
      </c>
      <c r="B825" s="412">
        <f>VLOOKUP(B817,'BANG LUONG 1'!$B$4:$AJ$55,11,0)</f>
        <v>4213125</v>
      </c>
      <c r="C825" s="421">
        <v>9</v>
      </c>
      <c r="D825" s="41"/>
    </row>
    <row r="826" spans="1:4">
      <c r="A826" s="421" t="s">
        <v>354</v>
      </c>
      <c r="B826" s="412">
        <f>VLOOKUP(B817,'BANG LUONG 1'!$B$4:$AJ$55,12,0)</f>
        <v>27</v>
      </c>
      <c r="C826" s="421">
        <v>10</v>
      </c>
      <c r="D826" s="41"/>
    </row>
    <row r="827" spans="1:4">
      <c r="A827" s="421" t="s">
        <v>534</v>
      </c>
      <c r="B827" s="412">
        <f>VLOOKUP(B817,'BANG LUONG 1'!$B$4:$AJ$55,13,0)</f>
        <v>4375168.269230769</v>
      </c>
      <c r="C827" s="421">
        <v>11</v>
      </c>
      <c r="D827" s="41"/>
    </row>
    <row r="828" spans="1:4">
      <c r="A828" s="421" t="s">
        <v>592</v>
      </c>
      <c r="B828" s="412">
        <f>VLOOKUP(B817,'BANG LUONG 1'!$B$4:$AJ$55,14,0)</f>
        <v>0.5</v>
      </c>
      <c r="C828" s="421">
        <v>12</v>
      </c>
      <c r="D828" s="41">
        <f>B825/26*B828</f>
        <v>81021.63461538461</v>
      </c>
    </row>
    <row r="829" spans="1:4">
      <c r="A829" s="421" t="s">
        <v>357</v>
      </c>
      <c r="B829" s="412">
        <f>VLOOKUP(B817,'BANG LUONG 1'!$B$4:$AJ$55,15,0)</f>
        <v>0</v>
      </c>
      <c r="C829" s="421">
        <v>13</v>
      </c>
      <c r="D829" s="41">
        <f>B825/26/8*1.5*B829</f>
        <v>0</v>
      </c>
    </row>
    <row r="830" spans="1:4">
      <c r="A830" s="421" t="s">
        <v>387</v>
      </c>
      <c r="B830" s="412">
        <f>VLOOKUP(B817,'BANG LUONG 1'!$B$4:$AJ$55,16,0)</f>
        <v>0</v>
      </c>
      <c r="C830" s="421">
        <v>14</v>
      </c>
      <c r="D830" s="41">
        <f>B825/26/8*2*B830</f>
        <v>0</v>
      </c>
    </row>
    <row r="831" spans="1:4">
      <c r="A831" s="421" t="s">
        <v>593</v>
      </c>
      <c r="B831" s="412">
        <f>VLOOKUP(B817,'BANG LUONG 1'!$B$4:$AJ$55,17,0)</f>
        <v>0</v>
      </c>
      <c r="C831" s="421"/>
      <c r="D831" s="41">
        <f>(B825/26)*B831</f>
        <v>0</v>
      </c>
    </row>
    <row r="832" spans="1:4">
      <c r="A832" s="421" t="s">
        <v>388</v>
      </c>
      <c r="B832" s="412">
        <f>VLOOKUP(B817,'BANG LUONG 1'!$B$4:$AJ$55,18,0)</f>
        <v>0</v>
      </c>
      <c r="C832" s="421">
        <v>15</v>
      </c>
      <c r="D832" s="41">
        <f>(B825/26*B832)*3</f>
        <v>0</v>
      </c>
    </row>
    <row r="833" spans="1:5">
      <c r="A833" s="421" t="s">
        <v>533</v>
      </c>
      <c r="B833" s="412">
        <f>VLOOKUP(B817,'BANG LUONG 1'!$B$4:$AJ$55,19,0)</f>
        <v>4456189.903846154</v>
      </c>
      <c r="C833" s="183">
        <v>16</v>
      </c>
      <c r="D833" s="185">
        <f>B827+D829+D830+D828+D832+D831</f>
        <v>4456189.903846154</v>
      </c>
      <c r="E833" s="108"/>
    </row>
    <row r="834" spans="1:5">
      <c r="A834" s="421" t="s">
        <v>535</v>
      </c>
      <c r="B834" s="412">
        <f>VLOOKUP(B817,'BANG LUONG 1'!$B$4:$AJ$55,20,0)</f>
        <v>-4375168.269230769</v>
      </c>
      <c r="C834" s="421">
        <v>17</v>
      </c>
      <c r="D834" s="41"/>
    </row>
    <row r="835" spans="1:5">
      <c r="A835" s="421" t="s">
        <v>370</v>
      </c>
      <c r="B835" s="412">
        <f>VLOOKUP(B817,'BANG LUONG 1'!$B$4:$AJ$55,22,0)</f>
        <v>0</v>
      </c>
      <c r="C835" s="421">
        <v>18</v>
      </c>
      <c r="D835" s="41"/>
    </row>
    <row r="836" spans="1:5">
      <c r="A836" s="421" t="s">
        <v>371</v>
      </c>
      <c r="B836" s="412">
        <f>VLOOKUP(B817,'BANG LUONG 1'!$B$4:$AJ$55,23,0)</f>
        <v>300000</v>
      </c>
      <c r="C836" s="421">
        <v>19</v>
      </c>
      <c r="D836" s="41"/>
    </row>
    <row r="837" spans="1:5">
      <c r="A837" s="421" t="s">
        <v>560</v>
      </c>
      <c r="B837" s="412">
        <f>VLOOKUP(B817,'BANG LUONG 1'!$B$4:$AJ$55,24,0)</f>
        <v>0</v>
      </c>
      <c r="C837" s="421">
        <v>22</v>
      </c>
      <c r="D837" s="41"/>
    </row>
    <row r="838" spans="1:5">
      <c r="A838" s="183" t="s">
        <v>237</v>
      </c>
      <c r="B838" s="415">
        <f>VLOOKUP(B817,'BANG LUONG 1'!$B$4:$AJ$55,26,0)</f>
        <v>381021.63461538497</v>
      </c>
      <c r="C838" s="421">
        <v>24</v>
      </c>
      <c r="D838" s="41"/>
    </row>
    <row r="839" spans="1:5">
      <c r="A839" s="421" t="s">
        <v>545</v>
      </c>
      <c r="B839" s="412">
        <f>VLOOKUP(B817,'BANG LUONG 1'!$B$4:$AJ$55,27,0)</f>
        <v>4000000</v>
      </c>
      <c r="C839" s="421">
        <v>25</v>
      </c>
      <c r="D839" s="41"/>
    </row>
    <row r="840" spans="1:5">
      <c r="A840" s="421" t="s">
        <v>544</v>
      </c>
      <c r="B840" s="412">
        <f>VLOOKUP(B817,'BANG LUONG 1'!$B$4:$AJ$55,28,0)</f>
        <v>480585</v>
      </c>
      <c r="C840" s="421">
        <v>26</v>
      </c>
      <c r="D840" s="41"/>
    </row>
    <row r="841" spans="1:5">
      <c r="A841" s="421" t="s">
        <v>713</v>
      </c>
      <c r="B841" s="415">
        <f>VLOOKUP(B817,'BANG LUONG 1'!$B$4:$AJ$55,32,0)</f>
        <v>0</v>
      </c>
      <c r="C841" s="421"/>
      <c r="D841" s="41"/>
    </row>
    <row r="842" spans="1:5">
      <c r="A842" s="421" t="s">
        <v>714</v>
      </c>
      <c r="B842" s="415">
        <f>VLOOKUP(B817,'BANG LUONG 1'!$B$4:$AJ$55,33,0)</f>
        <v>0</v>
      </c>
      <c r="C842" s="421"/>
      <c r="D842" s="41"/>
    </row>
    <row r="843" spans="1:5">
      <c r="A843" s="183" t="s">
        <v>707</v>
      </c>
      <c r="B843" s="415">
        <f>VLOOKUP(B817,'BANG LUONG 1'!$B$4:$AJ$55,30,0)</f>
        <v>0</v>
      </c>
      <c r="C843" s="421"/>
      <c r="D843" s="41"/>
      <c r="E843" s="108" t="str">
        <f>B818</f>
        <v>Nguyễn Văn Mèo</v>
      </c>
    </row>
    <row r="844" spans="1:5">
      <c r="A844" s="183" t="s">
        <v>546</v>
      </c>
      <c r="B844" s="415">
        <f>VLOOKUP(B817,'BANG LUONG 1'!$B$4:$AJ$55,35,0)</f>
        <v>-4100000</v>
      </c>
      <c r="C844" s="421"/>
      <c r="D844" s="41"/>
    </row>
    <row r="845" spans="1:5">
      <c r="A845" s="184" t="s">
        <v>549</v>
      </c>
      <c r="B845" s="424">
        <f>'BANG LUONG 1'!$P$2</f>
        <v>43702</v>
      </c>
    </row>
    <row r="846" spans="1:5">
      <c r="A846" s="183" t="s">
        <v>1</v>
      </c>
      <c r="B846" s="185" t="s">
        <v>152</v>
      </c>
      <c r="C846" s="421">
        <v>1</v>
      </c>
      <c r="D846" s="41"/>
    </row>
    <row r="847" spans="1:5">
      <c r="A847" s="183" t="s">
        <v>2</v>
      </c>
      <c r="B847" s="185" t="str">
        <f>VLOOKUP($B846,'BANG LUONG 1'!$B$5:$AB$50,C847,0)</f>
        <v>Nguyễn Văn Phụng</v>
      </c>
      <c r="C847" s="421">
        <v>2</v>
      </c>
      <c r="D847" s="41"/>
    </row>
    <row r="848" spans="1:5">
      <c r="A848" s="421" t="s">
        <v>3</v>
      </c>
      <c r="B848" s="41" t="str">
        <f>VLOOKUP($B846,'BANG LUONG 1'!$B$5:$AJ$50,C848,0)</f>
        <v xml:space="preserve">Công nhân </v>
      </c>
      <c r="C848" s="421">
        <v>3</v>
      </c>
      <c r="D848" s="41"/>
    </row>
    <row r="849" spans="1:5">
      <c r="A849" s="421" t="s">
        <v>376</v>
      </c>
      <c r="B849" s="410">
        <f>VLOOKUP($B846,'BANG LUONG 1'!$B$4:$AJ$55,4,0)</f>
        <v>41786</v>
      </c>
      <c r="C849" s="421">
        <v>4</v>
      </c>
      <c r="D849" s="41"/>
    </row>
    <row r="850" spans="1:5">
      <c r="A850" s="421" t="s">
        <v>698</v>
      </c>
      <c r="B850" s="411">
        <f>VLOOKUP(B846,'BANG LUONG 1'!$B$4:$AJ$55,6,0)</f>
        <v>0.05</v>
      </c>
      <c r="C850" s="421">
        <v>5</v>
      </c>
      <c r="D850" s="41"/>
    </row>
    <row r="851" spans="1:5">
      <c r="A851" s="421" t="s">
        <v>229</v>
      </c>
      <c r="B851" s="412">
        <f>'thang luong moi'!$F$5</f>
        <v>4012500</v>
      </c>
      <c r="C851" s="421">
        <v>6</v>
      </c>
      <c r="D851" s="41"/>
    </row>
    <row r="852" spans="1:5">
      <c r="A852" s="421" t="s">
        <v>217</v>
      </c>
      <c r="B852" s="412" t="str">
        <f>VLOOKUP(B846,'BANG LUONG 1'!$B$4:$AJ$55,8,0)</f>
        <v>B.05</v>
      </c>
      <c r="C852" s="421">
        <v>7</v>
      </c>
      <c r="D852" s="41"/>
    </row>
    <row r="853" spans="1:5">
      <c r="A853" s="421" t="s">
        <v>230</v>
      </c>
      <c r="B853" s="412">
        <f>VLOOKUP(B846,'BANG LUONG 1'!$B$4:$AJ$55,9,0)</f>
        <v>1</v>
      </c>
      <c r="C853" s="421">
        <v>8</v>
      </c>
      <c r="D853" s="41"/>
    </row>
    <row r="854" spans="1:5">
      <c r="A854" s="421" t="s">
        <v>538</v>
      </c>
      <c r="B854" s="412">
        <f>VLOOKUP(B846,'BANG LUONG 1'!$B$4:$AJ$55,11,0)</f>
        <v>4213125</v>
      </c>
      <c r="C854" s="421">
        <v>9</v>
      </c>
      <c r="D854" s="41"/>
    </row>
    <row r="855" spans="1:5">
      <c r="A855" s="421" t="s">
        <v>354</v>
      </c>
      <c r="B855" s="412">
        <f>VLOOKUP(B846,'BANG LUONG 1'!$B$4:$AJ$55,12,0)</f>
        <v>27</v>
      </c>
      <c r="C855" s="421">
        <v>10</v>
      </c>
      <c r="D855" s="41"/>
    </row>
    <row r="856" spans="1:5">
      <c r="A856" s="421" t="s">
        <v>534</v>
      </c>
      <c r="B856" s="412">
        <f>VLOOKUP(B846,'BANG LUONG 1'!$B$4:$AJ$55,13,0)</f>
        <v>4375168.269230769</v>
      </c>
      <c r="C856" s="421">
        <v>11</v>
      </c>
      <c r="D856" s="41"/>
    </row>
    <row r="857" spans="1:5">
      <c r="A857" s="421" t="s">
        <v>592</v>
      </c>
      <c r="B857" s="412">
        <f>VLOOKUP(B846,'BANG LUONG 1'!$B$4:$AJ$55,14,0)</f>
        <v>0.5</v>
      </c>
      <c r="C857" s="421">
        <v>12</v>
      </c>
      <c r="D857" s="41">
        <f>B854/26*B857</f>
        <v>81021.63461538461</v>
      </c>
    </row>
    <row r="858" spans="1:5">
      <c r="A858" s="421" t="s">
        <v>357</v>
      </c>
      <c r="B858" s="412">
        <f>VLOOKUP(B846,'BANG LUONG 1'!$B$4:$AJ$55,15,0)</f>
        <v>0</v>
      </c>
      <c r="C858" s="421">
        <v>13</v>
      </c>
      <c r="D858" s="41">
        <f>B854/26/8*1.5*B858</f>
        <v>0</v>
      </c>
    </row>
    <row r="859" spans="1:5">
      <c r="A859" s="421" t="s">
        <v>387</v>
      </c>
      <c r="B859" s="412">
        <f>VLOOKUP(B846,'BANG LUONG 1'!$B$4:$AJ$55,16,0)</f>
        <v>0</v>
      </c>
      <c r="C859" s="421">
        <v>14</v>
      </c>
      <c r="D859" s="41">
        <f>B854/26/8*2*B859</f>
        <v>0</v>
      </c>
    </row>
    <row r="860" spans="1:5">
      <c r="A860" s="421" t="s">
        <v>593</v>
      </c>
      <c r="B860" s="412">
        <f>VLOOKUP(B846,'BANG LUONG 1'!$B$4:$AJ$55,17,0)</f>
        <v>0</v>
      </c>
      <c r="C860" s="421"/>
      <c r="D860" s="41">
        <f>(B854/26)*B860</f>
        <v>0</v>
      </c>
    </row>
    <row r="861" spans="1:5">
      <c r="A861" s="421" t="s">
        <v>388</v>
      </c>
      <c r="B861" s="412">
        <f>VLOOKUP(B846,'BANG LUONG 1'!$B$4:$AJ$55,18,0)</f>
        <v>0</v>
      </c>
      <c r="C861" s="421">
        <v>15</v>
      </c>
      <c r="D861" s="41">
        <f>(B854/26*B861)*3</f>
        <v>0</v>
      </c>
    </row>
    <row r="862" spans="1:5">
      <c r="A862" s="421" t="s">
        <v>533</v>
      </c>
      <c r="B862" s="412">
        <f>VLOOKUP(B846,'BANG LUONG 1'!$B$4:$AJ$55,19,0)</f>
        <v>4456189.903846154</v>
      </c>
      <c r="C862" s="183">
        <v>16</v>
      </c>
      <c r="D862" s="185">
        <f>B856+D858+D859+D857+D861+D860</f>
        <v>4456189.903846154</v>
      </c>
      <c r="E862" s="108"/>
    </row>
    <row r="863" spans="1:5">
      <c r="A863" s="421" t="s">
        <v>535</v>
      </c>
      <c r="B863" s="412">
        <f>VLOOKUP(B846,'BANG LUONG 1'!$B$4:$AJ$55,20,0)</f>
        <v>-4375168.269230769</v>
      </c>
      <c r="C863" s="421">
        <v>17</v>
      </c>
      <c r="D863" s="41"/>
    </row>
    <row r="864" spans="1:5">
      <c r="A864" s="421" t="s">
        <v>370</v>
      </c>
      <c r="B864" s="412">
        <f>VLOOKUP(B846,'BANG LUONG 1'!$B$4:$AJ$55,22,0)</f>
        <v>210656.25</v>
      </c>
      <c r="C864" s="421">
        <v>18</v>
      </c>
      <c r="D864" s="41"/>
    </row>
    <row r="865" spans="1:5">
      <c r="A865" s="421" t="s">
        <v>371</v>
      </c>
      <c r="B865" s="412">
        <f>VLOOKUP(B846,'BANG LUONG 1'!$B$4:$AJ$55,23,0)</f>
        <v>300000</v>
      </c>
      <c r="C865" s="421">
        <v>19</v>
      </c>
      <c r="D865" s="41"/>
    </row>
    <row r="866" spans="1:5">
      <c r="A866" s="421" t="s">
        <v>560</v>
      </c>
      <c r="B866" s="412">
        <f>VLOOKUP(B846,'BANG LUONG 1'!$B$4:$AJ$55,24,0)</f>
        <v>0</v>
      </c>
      <c r="C866" s="421">
        <v>22</v>
      </c>
      <c r="D866" s="41"/>
    </row>
    <row r="867" spans="1:5">
      <c r="A867" s="183" t="s">
        <v>237</v>
      </c>
      <c r="B867" s="415">
        <f>VLOOKUP(B846,'BANG LUONG 1'!$B$4:$AJ$55,26,0)</f>
        <v>591677.88461538497</v>
      </c>
      <c r="C867" s="421">
        <v>24</v>
      </c>
      <c r="D867" s="41"/>
    </row>
    <row r="868" spans="1:5">
      <c r="A868" s="421" t="s">
        <v>545</v>
      </c>
      <c r="B868" s="412">
        <f>VLOOKUP(B846,'BANG LUONG 1'!$B$4:$AJ$55,27,0)</f>
        <v>4000000</v>
      </c>
      <c r="C868" s="421">
        <v>25</v>
      </c>
      <c r="D868" s="41"/>
    </row>
    <row r="869" spans="1:5">
      <c r="A869" s="421" t="s">
        <v>544</v>
      </c>
      <c r="B869" s="412">
        <f>VLOOKUP(B846,'BANG LUONG 1'!$B$4:$AJ$55,28,0)</f>
        <v>480585</v>
      </c>
      <c r="C869" s="421">
        <v>26</v>
      </c>
      <c r="D869" s="41"/>
    </row>
    <row r="870" spans="1:5">
      <c r="A870" s="421" t="s">
        <v>713</v>
      </c>
      <c r="B870" s="415">
        <f>VLOOKUP(B846,'BANG LUONG 1'!$B$4:$AJ$55,32,0)</f>
        <v>0</v>
      </c>
      <c r="C870" s="421"/>
      <c r="D870" s="41"/>
    </row>
    <row r="871" spans="1:5">
      <c r="A871" s="421" t="s">
        <v>714</v>
      </c>
      <c r="B871" s="415">
        <f>VLOOKUP(B846,'BANG LUONG 1'!$B$4:$AJ$55,33,0)</f>
        <v>0</v>
      </c>
      <c r="C871" s="421"/>
      <c r="D871" s="41"/>
    </row>
    <row r="872" spans="1:5">
      <c r="A872" s="183" t="s">
        <v>707</v>
      </c>
      <c r="B872" s="415">
        <f>VLOOKUP(B846,'BANG LUONG 1'!$B$4:$AJ$55,30,0)</f>
        <v>0</v>
      </c>
      <c r="C872" s="421"/>
      <c r="D872" s="41"/>
      <c r="E872" s="108" t="str">
        <f>B847</f>
        <v>Nguyễn Văn Phụng</v>
      </c>
    </row>
    <row r="873" spans="1:5">
      <c r="A873" s="183" t="s">
        <v>546</v>
      </c>
      <c r="B873" s="415">
        <f>VLOOKUP(B846,'BANG LUONG 1'!$B$4:$AJ$55,35,0)</f>
        <v>-3889000</v>
      </c>
      <c r="C873" s="421"/>
      <c r="D873" s="41"/>
    </row>
    <row r="874" spans="1:5">
      <c r="A874" s="184" t="s">
        <v>549</v>
      </c>
      <c r="B874" s="424">
        <f>'BANG LUONG 1'!$P$2</f>
        <v>43702</v>
      </c>
    </row>
    <row r="875" spans="1:5">
      <c r="A875" s="183" t="s">
        <v>1</v>
      </c>
      <c r="B875" s="185" t="s">
        <v>154</v>
      </c>
      <c r="C875" s="421">
        <v>1</v>
      </c>
      <c r="D875" s="41"/>
    </row>
    <row r="876" spans="1:5">
      <c r="A876" s="183" t="s">
        <v>2</v>
      </c>
      <c r="B876" s="185" t="str">
        <f>VLOOKUP($B875,'BANG LUONG 1'!$B$5:$AB$50,C876,0)</f>
        <v>Nguyễn Tấn Kiệt</v>
      </c>
      <c r="C876" s="421">
        <v>2</v>
      </c>
      <c r="D876" s="41"/>
    </row>
    <row r="877" spans="1:5">
      <c r="A877" s="421" t="s">
        <v>3</v>
      </c>
      <c r="B877" s="41" t="str">
        <f>VLOOKUP($B875,'BANG LUONG 1'!$B$5:$AJ$50,C877,0)</f>
        <v xml:space="preserve">Công nhân </v>
      </c>
      <c r="C877" s="421">
        <v>3</v>
      </c>
      <c r="D877" s="41"/>
    </row>
    <row r="878" spans="1:5">
      <c r="A878" s="421" t="s">
        <v>376</v>
      </c>
      <c r="B878" s="410">
        <f>VLOOKUP($B875,'BANG LUONG 1'!$B$4:$AJ$55,4,0)</f>
        <v>40869</v>
      </c>
      <c r="C878" s="421">
        <v>4</v>
      </c>
      <c r="D878" s="41"/>
    </row>
    <row r="879" spans="1:5">
      <c r="A879" s="421" t="s">
        <v>698</v>
      </c>
      <c r="B879" s="411">
        <f>VLOOKUP(B875,'BANG LUONG 1'!$B$4:$AJ$55,6,0)</f>
        <v>7.0000000000000007E-2</v>
      </c>
      <c r="C879" s="421">
        <v>5</v>
      </c>
      <c r="D879" s="41"/>
    </row>
    <row r="880" spans="1:5">
      <c r="A880" s="421" t="s">
        <v>229</v>
      </c>
      <c r="B880" s="412">
        <f>'thang luong moi'!$F$5</f>
        <v>4012500</v>
      </c>
      <c r="C880" s="421">
        <v>6</v>
      </c>
      <c r="D880" s="41"/>
    </row>
    <row r="881" spans="1:5">
      <c r="A881" s="421" t="s">
        <v>217</v>
      </c>
      <c r="B881" s="412" t="str">
        <f>VLOOKUP(B875,'BANG LUONG 1'!$B$4:$AJ$55,8,0)</f>
        <v>B.05</v>
      </c>
      <c r="C881" s="421">
        <v>7</v>
      </c>
      <c r="D881" s="41"/>
    </row>
    <row r="882" spans="1:5">
      <c r="A882" s="421" t="s">
        <v>230</v>
      </c>
      <c r="B882" s="412">
        <f>VLOOKUP(B875,'BANG LUONG 1'!$B$4:$AJ$55,9,0)</f>
        <v>1</v>
      </c>
      <c r="C882" s="421">
        <v>8</v>
      </c>
      <c r="D882" s="41"/>
    </row>
    <row r="883" spans="1:5">
      <c r="A883" s="421" t="s">
        <v>538</v>
      </c>
      <c r="B883" s="412">
        <f>VLOOKUP(B875,'BANG LUONG 1'!$B$4:$AJ$55,11,0)</f>
        <v>4213125</v>
      </c>
      <c r="C883" s="421">
        <v>9</v>
      </c>
      <c r="D883" s="41"/>
    </row>
    <row r="884" spans="1:5">
      <c r="A884" s="421" t="s">
        <v>354</v>
      </c>
      <c r="B884" s="412">
        <f>VLOOKUP(B875,'BANG LUONG 1'!$B$4:$AJ$55,12,0)</f>
        <v>27</v>
      </c>
      <c r="C884" s="421">
        <v>10</v>
      </c>
      <c r="D884" s="41"/>
    </row>
    <row r="885" spans="1:5">
      <c r="A885" s="421" t="s">
        <v>534</v>
      </c>
      <c r="B885" s="412">
        <f>VLOOKUP(B875,'BANG LUONG 1'!$B$4:$AJ$55,13,0)</f>
        <v>4375168.269230769</v>
      </c>
      <c r="C885" s="421">
        <v>11</v>
      </c>
      <c r="D885" s="41"/>
    </row>
    <row r="886" spans="1:5">
      <c r="A886" s="421" t="s">
        <v>592</v>
      </c>
      <c r="B886" s="412">
        <f>VLOOKUP(B875,'BANG LUONG 1'!$B$4:$AJ$55,14,0)</f>
        <v>0</v>
      </c>
      <c r="C886" s="421">
        <v>12</v>
      </c>
      <c r="D886" s="41">
        <f>B883/26*B886</f>
        <v>0</v>
      </c>
    </row>
    <row r="887" spans="1:5">
      <c r="A887" s="421" t="s">
        <v>357</v>
      </c>
      <c r="B887" s="412">
        <f>VLOOKUP(B875,'BANG LUONG 1'!$B$4:$AJ$55,15,0)</f>
        <v>0</v>
      </c>
      <c r="C887" s="421">
        <v>13</v>
      </c>
      <c r="D887" s="41">
        <f>B883/26/8*1.5*B887</f>
        <v>0</v>
      </c>
    </row>
    <row r="888" spans="1:5">
      <c r="A888" s="421" t="s">
        <v>387</v>
      </c>
      <c r="B888" s="412">
        <f>VLOOKUP(B875,'BANG LUONG 1'!$B$4:$AJ$55,16,0)</f>
        <v>0</v>
      </c>
      <c r="C888" s="421">
        <v>14</v>
      </c>
      <c r="D888" s="41">
        <f>B883/26/8*2*B888</f>
        <v>0</v>
      </c>
    </row>
    <row r="889" spans="1:5">
      <c r="A889" s="421" t="s">
        <v>593</v>
      </c>
      <c r="B889" s="412">
        <f>VLOOKUP(B875,'BANG LUONG 1'!$B$4:$AJ$55,17,0)</f>
        <v>0</v>
      </c>
      <c r="C889" s="421"/>
      <c r="D889" s="41">
        <f>(B883/26)*B889</f>
        <v>0</v>
      </c>
    </row>
    <row r="890" spans="1:5">
      <c r="A890" s="421" t="s">
        <v>388</v>
      </c>
      <c r="B890" s="412">
        <f>VLOOKUP(B875,'BANG LUONG 1'!$B$4:$AJ$55,18,0)</f>
        <v>0</v>
      </c>
      <c r="C890" s="421">
        <v>15</v>
      </c>
      <c r="D890" s="41">
        <f>(B883/26*B890)*3</f>
        <v>0</v>
      </c>
    </row>
    <row r="891" spans="1:5">
      <c r="A891" s="421" t="s">
        <v>533</v>
      </c>
      <c r="B891" s="412">
        <f>VLOOKUP(B875,'BANG LUONG 1'!$B$4:$AJ$55,19,0)</f>
        <v>4375168.269230769</v>
      </c>
      <c r="C891" s="183">
        <v>16</v>
      </c>
      <c r="D891" s="185">
        <f>B885+D887+D888+D886+D890+D889</f>
        <v>4375168.269230769</v>
      </c>
      <c r="E891" s="108"/>
    </row>
    <row r="892" spans="1:5">
      <c r="A892" s="421" t="s">
        <v>535</v>
      </c>
      <c r="B892" s="412">
        <f>VLOOKUP(B875,'BANG LUONG 1'!$B$4:$AJ$55,20,0)</f>
        <v>-4375168.269230769</v>
      </c>
      <c r="C892" s="421">
        <v>17</v>
      </c>
      <c r="D892" s="41"/>
    </row>
    <row r="893" spans="1:5">
      <c r="A893" s="421" t="s">
        <v>370</v>
      </c>
      <c r="B893" s="412">
        <f>VLOOKUP(B875,'BANG LUONG 1'!$B$4:$AJ$55,22,0)</f>
        <v>294918.75</v>
      </c>
      <c r="C893" s="421">
        <v>18</v>
      </c>
      <c r="D893" s="41"/>
    </row>
    <row r="894" spans="1:5">
      <c r="A894" s="421" t="s">
        <v>371</v>
      </c>
      <c r="B894" s="412">
        <f>VLOOKUP(B875,'BANG LUONG 1'!$B$4:$AJ$55,23,0)</f>
        <v>300000</v>
      </c>
      <c r="C894" s="421">
        <v>19</v>
      </c>
      <c r="D894" s="41"/>
    </row>
    <row r="895" spans="1:5">
      <c r="A895" s="421" t="s">
        <v>560</v>
      </c>
      <c r="B895" s="412">
        <f>VLOOKUP(B875,'BANG LUONG 1'!$B$4:$AJ$55,24,0)</f>
        <v>0</v>
      </c>
      <c r="C895" s="421">
        <v>22</v>
      </c>
      <c r="D895" s="41"/>
    </row>
    <row r="896" spans="1:5">
      <c r="A896" s="183" t="s">
        <v>237</v>
      </c>
      <c r="B896" s="415">
        <f>VLOOKUP(B875,'BANG LUONG 1'!$B$4:$AJ$55,26,0)</f>
        <v>594918.75</v>
      </c>
      <c r="C896" s="421">
        <v>24</v>
      </c>
      <c r="D896" s="41"/>
    </row>
    <row r="897" spans="1:5">
      <c r="A897" s="421" t="s">
        <v>545</v>
      </c>
      <c r="B897" s="412">
        <f>VLOOKUP(B875,'BANG LUONG 1'!$B$4:$AJ$55,27,0)</f>
        <v>4000000</v>
      </c>
      <c r="C897" s="421">
        <v>25</v>
      </c>
      <c r="D897" s="41"/>
    </row>
    <row r="898" spans="1:5">
      <c r="A898" s="421" t="s">
        <v>544</v>
      </c>
      <c r="B898" s="412">
        <f>VLOOKUP(B875,'BANG LUONG 1'!$B$4:$AJ$55,28,0)</f>
        <v>480585</v>
      </c>
      <c r="C898" s="421">
        <v>26</v>
      </c>
      <c r="D898" s="41"/>
    </row>
    <row r="899" spans="1:5">
      <c r="A899" s="421" t="s">
        <v>713</v>
      </c>
      <c r="B899" s="415">
        <f>VLOOKUP(B875,'BANG LUONG 1'!$B$4:$AJ$55,32,0)</f>
        <v>0</v>
      </c>
      <c r="C899" s="421"/>
      <c r="D899" s="41"/>
    </row>
    <row r="900" spans="1:5">
      <c r="A900" s="421" t="s">
        <v>714</v>
      </c>
      <c r="B900" s="415">
        <f>VLOOKUP(B875,'BANG LUONG 1'!$B$4:$AJ$55,33,0)</f>
        <v>0</v>
      </c>
      <c r="C900" s="421"/>
      <c r="D900" s="41"/>
    </row>
    <row r="901" spans="1:5">
      <c r="A901" s="183" t="s">
        <v>707</v>
      </c>
      <c r="B901" s="415">
        <f>VLOOKUP(B875,'BANG LUONG 1'!$B$4:$AJ$55,30,0)</f>
        <v>0</v>
      </c>
      <c r="C901" s="421"/>
      <c r="D901" s="41"/>
      <c r="E901" s="108" t="str">
        <f>B876</f>
        <v>Nguyễn Tấn Kiệt</v>
      </c>
    </row>
    <row r="902" spans="1:5">
      <c r="A902" s="183" t="s">
        <v>546</v>
      </c>
      <c r="B902" s="415">
        <f>VLOOKUP(B875,'BANG LUONG 1'!$B$4:$AJ$55,35,0)</f>
        <v>-3886000</v>
      </c>
      <c r="C902" s="421"/>
      <c r="D902" s="41"/>
    </row>
    <row r="903" spans="1:5">
      <c r="A903" s="184" t="s">
        <v>549</v>
      </c>
      <c r="B903" s="424">
        <f>'BANG LUONG 1'!$P$2</f>
        <v>43702</v>
      </c>
    </row>
    <row r="904" spans="1:5">
      <c r="A904" s="183" t="s">
        <v>1</v>
      </c>
      <c r="B904" s="185" t="s">
        <v>155</v>
      </c>
      <c r="C904" s="421">
        <v>1</v>
      </c>
      <c r="D904" s="41"/>
    </row>
    <row r="905" spans="1:5">
      <c r="A905" s="183" t="s">
        <v>2</v>
      </c>
      <c r="B905" s="185" t="str">
        <f>VLOOKUP($B904,'BANG LUONG 1'!$B$5:$AB$50,C905,0)</f>
        <v>Nguyễn Văn Rắng</v>
      </c>
      <c r="C905" s="421">
        <v>2</v>
      </c>
      <c r="D905" s="41"/>
    </row>
    <row r="906" spans="1:5">
      <c r="A906" s="421" t="s">
        <v>3</v>
      </c>
      <c r="B906" s="41" t="str">
        <f>VLOOKUP($B904,'BANG LUONG 1'!$B$5:$AJ$50,C906,0)</f>
        <v xml:space="preserve">Công nhân </v>
      </c>
      <c r="C906" s="421">
        <v>3</v>
      </c>
      <c r="D906" s="41"/>
    </row>
    <row r="907" spans="1:5">
      <c r="A907" s="421" t="s">
        <v>376</v>
      </c>
      <c r="B907" s="410">
        <f>VLOOKUP($B904,'BANG LUONG 1'!$B$4:$AJ$55,4,0)</f>
        <v>42422</v>
      </c>
      <c r="C907" s="421">
        <v>4</v>
      </c>
      <c r="D907" s="41"/>
    </row>
    <row r="908" spans="1:5">
      <c r="A908" s="421" t="s">
        <v>698</v>
      </c>
      <c r="B908" s="411">
        <f>VLOOKUP(B904,'BANG LUONG 1'!$B$4:$AJ$55,6,0)</f>
        <v>0.03</v>
      </c>
      <c r="C908" s="421">
        <v>5</v>
      </c>
      <c r="D908" s="41"/>
    </row>
    <row r="909" spans="1:5">
      <c r="A909" s="421" t="s">
        <v>229</v>
      </c>
      <c r="B909" s="412">
        <f>'thang luong moi'!$F$5</f>
        <v>4012500</v>
      </c>
      <c r="C909" s="421">
        <v>6</v>
      </c>
      <c r="D909" s="41"/>
    </row>
    <row r="910" spans="1:5">
      <c r="A910" s="421" t="s">
        <v>217</v>
      </c>
      <c r="B910" s="412" t="str">
        <f>VLOOKUP(B904,'BANG LUONG 1'!$B$4:$AJ$55,8,0)</f>
        <v>B.05</v>
      </c>
      <c r="C910" s="421">
        <v>7</v>
      </c>
      <c r="D910" s="41"/>
    </row>
    <row r="911" spans="1:5">
      <c r="A911" s="421" t="s">
        <v>230</v>
      </c>
      <c r="B911" s="412">
        <f>VLOOKUP(B904,'BANG LUONG 1'!$B$4:$AJ$55,9,0)</f>
        <v>1</v>
      </c>
      <c r="C911" s="421">
        <v>8</v>
      </c>
      <c r="D911" s="41"/>
    </row>
    <row r="912" spans="1:5">
      <c r="A912" s="421" t="s">
        <v>538</v>
      </c>
      <c r="B912" s="412">
        <f>VLOOKUP(B904,'BANG LUONG 1'!$B$4:$AJ$55,11,0)</f>
        <v>4213125</v>
      </c>
      <c r="C912" s="421">
        <v>9</v>
      </c>
      <c r="D912" s="41"/>
    </row>
    <row r="913" spans="1:5">
      <c r="A913" s="421" t="s">
        <v>354</v>
      </c>
      <c r="B913" s="412">
        <f>VLOOKUP(B904,'BANG LUONG 1'!$B$4:$AJ$55,12,0)</f>
        <v>27</v>
      </c>
      <c r="C913" s="421">
        <v>10</v>
      </c>
      <c r="D913" s="41"/>
    </row>
    <row r="914" spans="1:5">
      <c r="A914" s="421" t="s">
        <v>534</v>
      </c>
      <c r="B914" s="412">
        <f>VLOOKUP(B904,'BANG LUONG 1'!$B$4:$AJ$55,13,0)</f>
        <v>4375168.269230769</v>
      </c>
      <c r="C914" s="421">
        <v>11</v>
      </c>
      <c r="D914" s="41"/>
    </row>
    <row r="915" spans="1:5">
      <c r="A915" s="421" t="s">
        <v>592</v>
      </c>
      <c r="B915" s="412">
        <f>VLOOKUP(B904,'BANG LUONG 1'!$B$4:$AJ$55,14,0)</f>
        <v>0</v>
      </c>
      <c r="C915" s="421">
        <v>12</v>
      </c>
      <c r="D915" s="41">
        <f>B912/26*B915</f>
        <v>0</v>
      </c>
    </row>
    <row r="916" spans="1:5">
      <c r="A916" s="421" t="s">
        <v>357</v>
      </c>
      <c r="B916" s="412">
        <f>VLOOKUP(B904,'BANG LUONG 1'!$B$4:$AJ$55,15,0)</f>
        <v>0</v>
      </c>
      <c r="C916" s="421">
        <v>13</v>
      </c>
      <c r="D916" s="41">
        <f>B912/26/8*1.5*B916</f>
        <v>0</v>
      </c>
    </row>
    <row r="917" spans="1:5">
      <c r="A917" s="421" t="s">
        <v>387</v>
      </c>
      <c r="B917" s="412">
        <f>VLOOKUP(B904,'BANG LUONG 1'!$B$4:$AJ$55,16,0)</f>
        <v>0</v>
      </c>
      <c r="C917" s="421">
        <v>14</v>
      </c>
      <c r="D917" s="41">
        <f>B912/26/8*2*B917</f>
        <v>0</v>
      </c>
    </row>
    <row r="918" spans="1:5">
      <c r="A918" s="421" t="s">
        <v>593</v>
      </c>
      <c r="B918" s="412">
        <f>VLOOKUP(B904,'BANG LUONG 1'!$B$4:$AJ$55,17,0)</f>
        <v>0</v>
      </c>
      <c r="C918" s="421"/>
      <c r="D918" s="41">
        <f>(B912/26)*B918</f>
        <v>0</v>
      </c>
    </row>
    <row r="919" spans="1:5">
      <c r="A919" s="421" t="s">
        <v>388</v>
      </c>
      <c r="B919" s="412">
        <f>VLOOKUP(B904,'BANG LUONG 1'!$B$4:$AJ$55,18,0)</f>
        <v>0</v>
      </c>
      <c r="C919" s="421">
        <v>15</v>
      </c>
      <c r="D919" s="41">
        <f>(B912/26*B919)*3</f>
        <v>0</v>
      </c>
    </row>
    <row r="920" spans="1:5">
      <c r="A920" s="421" t="s">
        <v>533</v>
      </c>
      <c r="B920" s="412">
        <f>VLOOKUP(B904,'BANG LUONG 1'!$B$4:$AJ$55,19,0)</f>
        <v>4375168.269230769</v>
      </c>
      <c r="C920" s="183">
        <v>16</v>
      </c>
      <c r="D920" s="185">
        <f>B914+D916+D917+D915+D919+D918</f>
        <v>4375168.269230769</v>
      </c>
      <c r="E920" s="108"/>
    </row>
    <row r="921" spans="1:5">
      <c r="A921" s="421" t="s">
        <v>535</v>
      </c>
      <c r="B921" s="412">
        <f>VLOOKUP(B904,'BANG LUONG 1'!$B$4:$AJ$55,20,0)</f>
        <v>-4117214.423076923</v>
      </c>
      <c r="C921" s="421">
        <v>17</v>
      </c>
      <c r="D921" s="41"/>
    </row>
    <row r="922" spans="1:5">
      <c r="A922" s="421" t="s">
        <v>370</v>
      </c>
      <c r="B922" s="412">
        <f>VLOOKUP(B904,'BANG LUONG 1'!$B$4:$AJ$55,22,0)</f>
        <v>126393.75</v>
      </c>
      <c r="C922" s="421">
        <v>18</v>
      </c>
      <c r="D922" s="41"/>
    </row>
    <row r="923" spans="1:5">
      <c r="A923" s="421" t="s">
        <v>371</v>
      </c>
      <c r="B923" s="412">
        <f>VLOOKUP(B904,'BANG LUONG 1'!$B$4:$AJ$55,23,0)</f>
        <v>300000</v>
      </c>
      <c r="C923" s="421">
        <v>19</v>
      </c>
      <c r="D923" s="41"/>
    </row>
    <row r="924" spans="1:5">
      <c r="A924" s="421" t="s">
        <v>560</v>
      </c>
      <c r="B924" s="412">
        <f>VLOOKUP(B904,'BANG LUONG 1'!$B$4:$AJ$55,24,0)</f>
        <v>0</v>
      </c>
      <c r="C924" s="421">
        <v>22</v>
      </c>
      <c r="D924" s="41"/>
    </row>
    <row r="925" spans="1:5">
      <c r="A925" s="183" t="s">
        <v>237</v>
      </c>
      <c r="B925" s="415">
        <f>VLOOKUP(B904,'BANG LUONG 1'!$B$4:$AJ$55,26,0)</f>
        <v>684347.59615384601</v>
      </c>
      <c r="C925" s="421">
        <v>24</v>
      </c>
      <c r="D925" s="41"/>
    </row>
    <row r="926" spans="1:5">
      <c r="A926" s="421" t="s">
        <v>545</v>
      </c>
      <c r="B926" s="412">
        <f>VLOOKUP(B904,'BANG LUONG 1'!$B$4:$AJ$55,27,0)</f>
        <v>4000000</v>
      </c>
      <c r="C926" s="421">
        <v>25</v>
      </c>
      <c r="D926" s="41"/>
    </row>
    <row r="927" spans="1:5">
      <c r="A927" s="421" t="s">
        <v>544</v>
      </c>
      <c r="B927" s="412">
        <f>VLOOKUP(B904,'BANG LUONG 1'!$B$4:$AJ$55,28,0)</f>
        <v>480585</v>
      </c>
      <c r="C927" s="421">
        <v>26</v>
      </c>
      <c r="D927" s="41"/>
    </row>
    <row r="928" spans="1:5">
      <c r="A928" s="421" t="s">
        <v>713</v>
      </c>
      <c r="B928" s="415">
        <f>VLOOKUP(B904,'BANG LUONG 1'!$B$4:$AJ$55,32,0)</f>
        <v>0</v>
      </c>
      <c r="C928" s="421"/>
      <c r="D928" s="41"/>
    </row>
    <row r="929" spans="1:5">
      <c r="A929" s="421" t="s">
        <v>714</v>
      </c>
      <c r="B929" s="415">
        <f>VLOOKUP(B904,'BANG LUONG 1'!$B$4:$AJ$55,33,0)</f>
        <v>0</v>
      </c>
      <c r="C929" s="421"/>
      <c r="D929" s="41"/>
    </row>
    <row r="930" spans="1:5">
      <c r="A930" s="183" t="s">
        <v>707</v>
      </c>
      <c r="B930" s="415">
        <f>VLOOKUP(B904,'BANG LUONG 1'!$B$4:$AJ$55,30,0)</f>
        <v>0</v>
      </c>
      <c r="C930" s="421"/>
      <c r="D930" s="41"/>
      <c r="E930" s="108" t="str">
        <f>B905</f>
        <v>Nguyễn Văn Rắng</v>
      </c>
    </row>
    <row r="931" spans="1:5">
      <c r="A931" s="183" t="s">
        <v>546</v>
      </c>
      <c r="B931" s="415">
        <f>VLOOKUP(B904,'BANG LUONG 1'!$B$4:$AJ$55,35,0)</f>
        <v>-3796000</v>
      </c>
      <c r="C931" s="421"/>
      <c r="D931" s="41"/>
    </row>
    <row r="932" spans="1:5">
      <c r="A932" s="184" t="s">
        <v>549</v>
      </c>
      <c r="B932" s="424">
        <f>'BANG LUONG 1'!$P$2</f>
        <v>43702</v>
      </c>
    </row>
    <row r="933" spans="1:5">
      <c r="A933" s="183" t="s">
        <v>1</v>
      </c>
      <c r="B933" s="185" t="s">
        <v>156</v>
      </c>
      <c r="C933" s="421">
        <v>1</v>
      </c>
      <c r="D933" s="41"/>
    </row>
    <row r="934" spans="1:5">
      <c r="A934" s="183" t="s">
        <v>2</v>
      </c>
      <c r="B934" s="185" t="str">
        <f>VLOOKUP($B933,'BANG LUONG 1'!$B$5:$AB$50,C934,0)</f>
        <v>Lê Ngọc Đức</v>
      </c>
      <c r="C934" s="421">
        <v>2</v>
      </c>
      <c r="D934" s="41"/>
    </row>
    <row r="935" spans="1:5">
      <c r="A935" s="421" t="s">
        <v>3</v>
      </c>
      <c r="B935" s="41" t="str">
        <f>VLOOKUP($B933,'BANG LUONG 1'!$B$5:$AJ$50,C935,0)</f>
        <v xml:space="preserve">Công nhân </v>
      </c>
      <c r="C935" s="421">
        <v>3</v>
      </c>
      <c r="D935" s="41"/>
    </row>
    <row r="936" spans="1:5">
      <c r="A936" s="421" t="s">
        <v>376</v>
      </c>
      <c r="B936" s="410">
        <f>VLOOKUP($B933,'BANG LUONG 1'!$B$4:$AJ$55,4,0)</f>
        <v>43453</v>
      </c>
      <c r="C936" s="421">
        <v>4</v>
      </c>
      <c r="D936" s="41"/>
    </row>
    <row r="937" spans="1:5">
      <c r="A937" s="421" t="s">
        <v>698</v>
      </c>
      <c r="B937" s="411">
        <f>VLOOKUP(B933,'BANG LUONG 1'!$B$4:$AJ$55,6,0)</f>
        <v>0</v>
      </c>
      <c r="C937" s="421">
        <v>5</v>
      </c>
      <c r="D937" s="41"/>
    </row>
    <row r="938" spans="1:5">
      <c r="A938" s="421" t="s">
        <v>229</v>
      </c>
      <c r="B938" s="412">
        <f>'thang luong moi'!$F$5</f>
        <v>4012500</v>
      </c>
      <c r="C938" s="421">
        <v>6</v>
      </c>
      <c r="D938" s="41"/>
    </row>
    <row r="939" spans="1:5">
      <c r="A939" s="421" t="s">
        <v>217</v>
      </c>
      <c r="B939" s="412" t="str">
        <f>VLOOKUP(B933,'BANG LUONG 1'!$B$4:$AJ$55,8,0)</f>
        <v>B.05</v>
      </c>
      <c r="C939" s="421">
        <v>7</v>
      </c>
      <c r="D939" s="41"/>
    </row>
    <row r="940" spans="1:5">
      <c r="A940" s="421" t="s">
        <v>230</v>
      </c>
      <c r="B940" s="412">
        <f>VLOOKUP(B933,'BANG LUONG 1'!$B$4:$AJ$55,9,0)</f>
        <v>1</v>
      </c>
      <c r="C940" s="421">
        <v>8</v>
      </c>
      <c r="D940" s="41"/>
    </row>
    <row r="941" spans="1:5">
      <c r="A941" s="421" t="s">
        <v>538</v>
      </c>
      <c r="B941" s="412">
        <f>VLOOKUP(B933,'BANG LUONG 1'!$B$4:$AJ$55,11,0)</f>
        <v>4213125</v>
      </c>
      <c r="C941" s="421">
        <v>9</v>
      </c>
      <c r="D941" s="41"/>
    </row>
    <row r="942" spans="1:5">
      <c r="A942" s="421" t="s">
        <v>354</v>
      </c>
      <c r="B942" s="412">
        <f>VLOOKUP(B933,'BANG LUONG 1'!$B$4:$AJ$55,12,0)</f>
        <v>27</v>
      </c>
      <c r="C942" s="421">
        <v>10</v>
      </c>
      <c r="D942" s="41"/>
    </row>
    <row r="943" spans="1:5">
      <c r="A943" s="421" t="s">
        <v>534</v>
      </c>
      <c r="B943" s="412">
        <f>VLOOKUP(B933,'BANG LUONG 1'!$B$4:$AJ$55,13,0)</f>
        <v>4375168.269230769</v>
      </c>
      <c r="C943" s="421">
        <v>11</v>
      </c>
      <c r="D943" s="41"/>
    </row>
    <row r="944" spans="1:5">
      <c r="A944" s="421" t="s">
        <v>592</v>
      </c>
      <c r="B944" s="412">
        <f>VLOOKUP(B933,'BANG LUONG 1'!$B$4:$AJ$55,14,0)</f>
        <v>0</v>
      </c>
      <c r="C944" s="421">
        <v>12</v>
      </c>
      <c r="D944" s="41">
        <f>B941/26*B944</f>
        <v>0</v>
      </c>
    </row>
    <row r="945" spans="1:5">
      <c r="A945" s="421" t="s">
        <v>357</v>
      </c>
      <c r="B945" s="412">
        <f>VLOOKUP(B933,'BANG LUONG 1'!$B$4:$AJ$55,15,0)</f>
        <v>0</v>
      </c>
      <c r="C945" s="421">
        <v>13</v>
      </c>
      <c r="D945" s="41">
        <f>B941/26/8*1.5*B945</f>
        <v>0</v>
      </c>
    </row>
    <row r="946" spans="1:5">
      <c r="A946" s="421" t="s">
        <v>387</v>
      </c>
      <c r="B946" s="412">
        <f>VLOOKUP(B933,'BANG LUONG 1'!$B$4:$AJ$55,16,0)</f>
        <v>0</v>
      </c>
      <c r="C946" s="421">
        <v>14</v>
      </c>
      <c r="D946" s="41">
        <f>B941/26/8*2*B946</f>
        <v>0</v>
      </c>
    </row>
    <row r="947" spans="1:5">
      <c r="A947" s="421" t="s">
        <v>593</v>
      </c>
      <c r="B947" s="412">
        <f>VLOOKUP(B933,'BANG LUONG 1'!$B$4:$AJ$55,17,0)</f>
        <v>0</v>
      </c>
      <c r="C947" s="421"/>
      <c r="D947" s="41">
        <f>(B941/26)*B947</f>
        <v>0</v>
      </c>
    </row>
    <row r="948" spans="1:5">
      <c r="A948" s="421" t="s">
        <v>388</v>
      </c>
      <c r="B948" s="412">
        <f>VLOOKUP(B933,'BANG LUONG 1'!$B$4:$AJ$55,18,0)</f>
        <v>0</v>
      </c>
      <c r="C948" s="421">
        <v>15</v>
      </c>
      <c r="D948" s="41">
        <f>(B941/26*B948)*3</f>
        <v>0</v>
      </c>
    </row>
    <row r="949" spans="1:5">
      <c r="A949" s="421" t="s">
        <v>533</v>
      </c>
      <c r="B949" s="412">
        <f>VLOOKUP(B933,'BANG LUONG 1'!$B$4:$AJ$55,19,0)</f>
        <v>4375168.269230769</v>
      </c>
      <c r="C949" s="183">
        <v>16</v>
      </c>
      <c r="D949" s="185">
        <f>B943+D945+D946+D944+D948+D947</f>
        <v>4375168.269230769</v>
      </c>
      <c r="E949" s="108"/>
    </row>
    <row r="950" spans="1:5">
      <c r="A950" s="421" t="s">
        <v>535</v>
      </c>
      <c r="B950" s="412">
        <f>VLOOKUP(B933,'BANG LUONG 1'!$B$4:$AJ$55,20,0)</f>
        <v>-4375168.269230769</v>
      </c>
      <c r="C950" s="421">
        <v>17</v>
      </c>
      <c r="D950" s="41"/>
    </row>
    <row r="951" spans="1:5">
      <c r="A951" s="421" t="s">
        <v>370</v>
      </c>
      <c r="B951" s="412">
        <f>VLOOKUP(B933,'BANG LUONG 1'!$B$4:$AJ$55,22,0)</f>
        <v>0</v>
      </c>
      <c r="C951" s="421">
        <v>18</v>
      </c>
      <c r="D951" s="41"/>
    </row>
    <row r="952" spans="1:5">
      <c r="A952" s="421" t="s">
        <v>371</v>
      </c>
      <c r="B952" s="412">
        <f>VLOOKUP(B933,'BANG LUONG 1'!$B$4:$AJ$55,23,0)</f>
        <v>300000</v>
      </c>
      <c r="C952" s="421">
        <v>19</v>
      </c>
      <c r="D952" s="41"/>
    </row>
    <row r="953" spans="1:5">
      <c r="A953" s="421" t="s">
        <v>560</v>
      </c>
      <c r="B953" s="412">
        <f>VLOOKUP(B933,'BANG LUONG 1'!$B$4:$AJ$55,24,0)</f>
        <v>0</v>
      </c>
      <c r="C953" s="421">
        <v>22</v>
      </c>
      <c r="D953" s="41"/>
    </row>
    <row r="954" spans="1:5">
      <c r="A954" s="183" t="s">
        <v>237</v>
      </c>
      <c r="B954" s="415">
        <f>VLOOKUP(B933,'BANG LUONG 1'!$B$4:$AJ$55,26,0)</f>
        <v>300000</v>
      </c>
      <c r="C954" s="421">
        <v>24</v>
      </c>
      <c r="D954" s="41"/>
    </row>
    <row r="955" spans="1:5">
      <c r="A955" s="421" t="s">
        <v>545</v>
      </c>
      <c r="B955" s="412">
        <f>VLOOKUP(B933,'BANG LUONG 1'!$B$4:$AJ$55,27,0)</f>
        <v>4000000</v>
      </c>
      <c r="C955" s="421">
        <v>25</v>
      </c>
      <c r="D955" s="41"/>
    </row>
    <row r="956" spans="1:5">
      <c r="A956" s="421" t="s">
        <v>544</v>
      </c>
      <c r="B956" s="412">
        <f>VLOOKUP(B933,'BANG LUONG 1'!$B$4:$AJ$55,28,0)</f>
        <v>0</v>
      </c>
      <c r="C956" s="421">
        <v>26</v>
      </c>
      <c r="D956" s="41"/>
    </row>
    <row r="957" spans="1:5">
      <c r="A957" s="421" t="s">
        <v>713</v>
      </c>
      <c r="B957" s="415">
        <f>VLOOKUP(B933,'BANG LUONG 1'!$B$4:$AJ$55,32,0)</f>
        <v>0</v>
      </c>
      <c r="C957" s="421"/>
      <c r="D957" s="41"/>
    </row>
    <row r="958" spans="1:5">
      <c r="A958" s="421" t="s">
        <v>714</v>
      </c>
      <c r="B958" s="415">
        <f>VLOOKUP(B933,'BANG LUONG 1'!$B$4:$AJ$55,33,0)</f>
        <v>0</v>
      </c>
      <c r="C958" s="421"/>
      <c r="D958" s="41"/>
    </row>
    <row r="959" spans="1:5">
      <c r="A959" s="183" t="s">
        <v>707</v>
      </c>
      <c r="B959" s="415">
        <f>VLOOKUP(B933,'BANG LUONG 1'!$B$4:$AJ$55,30,0)</f>
        <v>0</v>
      </c>
      <c r="C959" s="421"/>
      <c r="D959" s="41"/>
      <c r="E959" s="108" t="str">
        <f>B934</f>
        <v>Lê Ngọc Đức</v>
      </c>
    </row>
    <row r="960" spans="1:5">
      <c r="A960" s="183" t="s">
        <v>546</v>
      </c>
      <c r="B960" s="415">
        <f>VLOOKUP(B933,'BANG LUONG 1'!$B$4:$AJ$55,35,0)</f>
        <v>-3700000</v>
      </c>
      <c r="C960" s="421"/>
      <c r="D960" s="41"/>
    </row>
    <row r="961" spans="1:4">
      <c r="A961" s="184" t="s">
        <v>549</v>
      </c>
      <c r="B961" s="424">
        <f>'BANG LUONG 1'!$P$2</f>
        <v>43702</v>
      </c>
    </row>
    <row r="962" spans="1:4">
      <c r="A962" s="183" t="s">
        <v>1</v>
      </c>
      <c r="B962" s="185" t="s">
        <v>158</v>
      </c>
      <c r="C962" s="421">
        <v>1</v>
      </c>
      <c r="D962" s="41"/>
    </row>
    <row r="963" spans="1:4">
      <c r="A963" s="183" t="s">
        <v>2</v>
      </c>
      <c r="B963" s="185" t="str">
        <f>VLOOKUP($B962,'BANG LUONG 1'!$B$5:$AB$50,C963,0)</f>
        <v>Bùi Văn Ây</v>
      </c>
      <c r="C963" s="421">
        <v>2</v>
      </c>
      <c r="D963" s="41"/>
    </row>
    <row r="964" spans="1:4">
      <c r="A964" s="421" t="s">
        <v>3</v>
      </c>
      <c r="B964" s="41" t="str">
        <f>VLOOKUP($B962,'BANG LUONG 1'!$B$5:$AJ$50,C964,0)</f>
        <v xml:space="preserve">Công nhân </v>
      </c>
      <c r="C964" s="421">
        <v>3</v>
      </c>
      <c r="D964" s="41"/>
    </row>
    <row r="965" spans="1:4">
      <c r="A965" s="421" t="s">
        <v>376</v>
      </c>
      <c r="B965" s="410">
        <f>VLOOKUP($B962,'BANG LUONG 1'!$B$4:$AJ$55,4,0)</f>
        <v>43458</v>
      </c>
      <c r="C965" s="421">
        <v>4</v>
      </c>
      <c r="D965" s="41"/>
    </row>
    <row r="966" spans="1:4">
      <c r="A966" s="421" t="s">
        <v>698</v>
      </c>
      <c r="B966" s="411">
        <f>VLOOKUP(B962,'BANG LUONG 1'!$B$4:$AJ$55,6,0)</f>
        <v>0</v>
      </c>
      <c r="C966" s="421">
        <v>5</v>
      </c>
      <c r="D966" s="41"/>
    </row>
    <row r="967" spans="1:4">
      <c r="A967" s="421" t="s">
        <v>229</v>
      </c>
      <c r="B967" s="412">
        <f>'thang luong moi'!$F$5</f>
        <v>4012500</v>
      </c>
      <c r="C967" s="421">
        <v>6</v>
      </c>
      <c r="D967" s="41"/>
    </row>
    <row r="968" spans="1:4">
      <c r="A968" s="421" t="s">
        <v>217</v>
      </c>
      <c r="B968" s="412" t="str">
        <f>VLOOKUP(B962,'BANG LUONG 1'!$B$4:$AJ$55,8,0)</f>
        <v>B.05</v>
      </c>
      <c r="C968" s="421">
        <v>7</v>
      </c>
      <c r="D968" s="41"/>
    </row>
    <row r="969" spans="1:4">
      <c r="A969" s="421" t="s">
        <v>230</v>
      </c>
      <c r="B969" s="412">
        <f>VLOOKUP(B962,'BANG LUONG 1'!$B$4:$AJ$55,9,0)</f>
        <v>1</v>
      </c>
      <c r="C969" s="421">
        <v>8</v>
      </c>
      <c r="D969" s="41"/>
    </row>
    <row r="970" spans="1:4">
      <c r="A970" s="421" t="s">
        <v>538</v>
      </c>
      <c r="B970" s="412">
        <f>VLOOKUP(B962,'BANG LUONG 1'!$B$4:$AJ$55,11,0)</f>
        <v>4213125</v>
      </c>
      <c r="C970" s="421">
        <v>9</v>
      </c>
      <c r="D970" s="41"/>
    </row>
    <row r="971" spans="1:4">
      <c r="A971" s="421" t="s">
        <v>354</v>
      </c>
      <c r="B971" s="412">
        <f>VLOOKUP(B962,'BANG LUONG 1'!$B$4:$AJ$55,12,0)</f>
        <v>27</v>
      </c>
      <c r="C971" s="421">
        <v>10</v>
      </c>
      <c r="D971" s="41"/>
    </row>
    <row r="972" spans="1:4">
      <c r="A972" s="421" t="s">
        <v>534</v>
      </c>
      <c r="B972" s="412">
        <f>VLOOKUP(B962,'BANG LUONG 1'!$B$4:$AJ$55,13,0)</f>
        <v>4375168.269230769</v>
      </c>
      <c r="C972" s="421">
        <v>11</v>
      </c>
      <c r="D972" s="41"/>
    </row>
    <row r="973" spans="1:4">
      <c r="A973" s="421" t="s">
        <v>592</v>
      </c>
      <c r="B973" s="412">
        <f>VLOOKUP(B962,'BANG LUONG 1'!$B$4:$AJ$55,14,0)</f>
        <v>0</v>
      </c>
      <c r="C973" s="421">
        <v>12</v>
      </c>
      <c r="D973" s="41">
        <f>B970/26*B973</f>
        <v>0</v>
      </c>
    </row>
    <row r="974" spans="1:4">
      <c r="A974" s="421" t="s">
        <v>357</v>
      </c>
      <c r="B974" s="412">
        <f>VLOOKUP(B962,'BANG LUONG 1'!$B$4:$AJ$55,15,0)</f>
        <v>0</v>
      </c>
      <c r="C974" s="421">
        <v>13</v>
      </c>
      <c r="D974" s="41">
        <f>B970/26/8*1.5*B974</f>
        <v>0</v>
      </c>
    </row>
    <row r="975" spans="1:4">
      <c r="A975" s="421" t="s">
        <v>387</v>
      </c>
      <c r="B975" s="412">
        <f>VLOOKUP(B962,'BANG LUONG 1'!$B$4:$AJ$55,16,0)</f>
        <v>0</v>
      </c>
      <c r="C975" s="421">
        <v>14</v>
      </c>
      <c r="D975" s="41">
        <f>B970/26/8*2*B975</f>
        <v>0</v>
      </c>
    </row>
    <row r="976" spans="1:4">
      <c r="A976" s="421" t="s">
        <v>593</v>
      </c>
      <c r="B976" s="412">
        <f>VLOOKUP(B962,'BANG LUONG 1'!$B$4:$AJ$55,17,0)</f>
        <v>0</v>
      </c>
      <c r="C976" s="421"/>
      <c r="D976" s="41">
        <f>(B970/26)*B976</f>
        <v>0</v>
      </c>
    </row>
    <row r="977" spans="1:5">
      <c r="A977" s="421" t="s">
        <v>388</v>
      </c>
      <c r="B977" s="412">
        <f>VLOOKUP(B962,'BANG LUONG 1'!$B$4:$AJ$55,18,0)</f>
        <v>0</v>
      </c>
      <c r="C977" s="421">
        <v>15</v>
      </c>
      <c r="D977" s="41">
        <f>(B970/26*B977)*3</f>
        <v>0</v>
      </c>
    </row>
    <row r="978" spans="1:5">
      <c r="A978" s="421" t="s">
        <v>533</v>
      </c>
      <c r="B978" s="412">
        <f>VLOOKUP(B962,'BANG LUONG 1'!$B$4:$AJ$55,19,0)</f>
        <v>4375168.269230769</v>
      </c>
      <c r="C978" s="183">
        <v>16</v>
      </c>
      <c r="D978" s="185">
        <f>B972+D974+D975+D973+D977+D976</f>
        <v>4375168.269230769</v>
      </c>
      <c r="E978" s="108"/>
    </row>
    <row r="979" spans="1:5">
      <c r="A979" s="421" t="s">
        <v>535</v>
      </c>
      <c r="B979" s="412">
        <f>VLOOKUP(B962,'BANG LUONG 1'!$B$4:$AJ$55,20,0)</f>
        <v>-4375168.269230769</v>
      </c>
      <c r="C979" s="421">
        <v>17</v>
      </c>
      <c r="D979" s="41"/>
    </row>
    <row r="980" spans="1:5">
      <c r="A980" s="421" t="s">
        <v>370</v>
      </c>
      <c r="B980" s="412">
        <f>VLOOKUP(B962,'BANG LUONG 1'!$B$4:$AJ$55,22,0)</f>
        <v>0</v>
      </c>
      <c r="C980" s="421">
        <v>18</v>
      </c>
      <c r="D980" s="41"/>
    </row>
    <row r="981" spans="1:5">
      <c r="A981" s="421" t="s">
        <v>371</v>
      </c>
      <c r="B981" s="412">
        <f>VLOOKUP(B962,'BANG LUONG 1'!$B$4:$AJ$55,23,0)</f>
        <v>300000</v>
      </c>
      <c r="C981" s="421">
        <v>19</v>
      </c>
      <c r="D981" s="41"/>
    </row>
    <row r="982" spans="1:5">
      <c r="A982" s="421" t="s">
        <v>560</v>
      </c>
      <c r="B982" s="412">
        <f>VLOOKUP(B962,'BANG LUONG 1'!$B$4:$AJ$55,24,0)</f>
        <v>0</v>
      </c>
      <c r="C982" s="421">
        <v>22</v>
      </c>
      <c r="D982" s="41"/>
    </row>
    <row r="983" spans="1:5">
      <c r="A983" s="183" t="s">
        <v>237</v>
      </c>
      <c r="B983" s="415">
        <f>VLOOKUP(B962,'BANG LUONG 1'!$B$4:$AJ$55,26,0)</f>
        <v>300000</v>
      </c>
      <c r="C983" s="421">
        <v>24</v>
      </c>
      <c r="D983" s="41"/>
    </row>
    <row r="984" spans="1:5">
      <c r="A984" s="421" t="s">
        <v>545</v>
      </c>
      <c r="B984" s="412">
        <f>VLOOKUP(B962,'BANG LUONG 1'!$B$4:$AJ$55,27,0)</f>
        <v>4000000</v>
      </c>
      <c r="C984" s="421">
        <v>25</v>
      </c>
      <c r="D984" s="41"/>
    </row>
    <row r="985" spans="1:5">
      <c r="A985" s="421" t="s">
        <v>544</v>
      </c>
      <c r="B985" s="412">
        <f>VLOOKUP(B962,'BANG LUONG 1'!$B$4:$AJ$55,28,0)</f>
        <v>0</v>
      </c>
      <c r="C985" s="421">
        <v>26</v>
      </c>
      <c r="D985" s="41"/>
    </row>
    <row r="986" spans="1:5">
      <c r="A986" s="421" t="s">
        <v>713</v>
      </c>
      <c r="B986" s="415">
        <f>VLOOKUP(B962,'BANG LUONG 1'!$B$4:$AJ$55,32,0)</f>
        <v>0</v>
      </c>
      <c r="C986" s="421"/>
      <c r="D986" s="41"/>
    </row>
    <row r="987" spans="1:5">
      <c r="A987" s="421" t="s">
        <v>714</v>
      </c>
      <c r="B987" s="415">
        <f>VLOOKUP(B962,'BANG LUONG 1'!$B$4:$AJ$55,33,0)</f>
        <v>0</v>
      </c>
      <c r="C987" s="421"/>
      <c r="D987" s="41"/>
    </row>
    <row r="988" spans="1:5">
      <c r="A988" s="183" t="s">
        <v>707</v>
      </c>
      <c r="B988" s="415">
        <f>VLOOKUP(B962,'BANG LUONG 1'!$B$4:$AJ$55,30,0)</f>
        <v>0</v>
      </c>
      <c r="C988" s="421"/>
      <c r="D988" s="41"/>
      <c r="E988" s="108" t="str">
        <f>B963</f>
        <v>Bùi Văn Ây</v>
      </c>
    </row>
    <row r="989" spans="1:5">
      <c r="A989" s="183" t="s">
        <v>546</v>
      </c>
      <c r="B989" s="415">
        <f>VLOOKUP(B962,'BANG LUONG 1'!$B$4:$AJ$55,35,0)</f>
        <v>-3700000</v>
      </c>
      <c r="C989" s="421"/>
      <c r="D989" s="41"/>
    </row>
    <row r="990" spans="1:5">
      <c r="A990" s="184" t="s">
        <v>549</v>
      </c>
      <c r="B990" s="424">
        <f>'BANG LUONG 1'!$P$2</f>
        <v>43702</v>
      </c>
    </row>
    <row r="991" spans="1:5">
      <c r="A991" s="183" t="s">
        <v>1</v>
      </c>
      <c r="B991" s="185" t="s">
        <v>159</v>
      </c>
      <c r="C991" s="421">
        <v>1</v>
      </c>
      <c r="D991" s="41"/>
    </row>
    <row r="992" spans="1:5">
      <c r="A992" s="183" t="s">
        <v>2</v>
      </c>
      <c r="B992" s="185" t="str">
        <f>VLOOKUP($B991,'BANG LUONG 1'!$B$5:$AB$50,C992,0)</f>
        <v>Ngô Đình Chung</v>
      </c>
      <c r="C992" s="421">
        <v>2</v>
      </c>
      <c r="D992" s="41"/>
    </row>
    <row r="993" spans="1:5">
      <c r="A993" s="421" t="s">
        <v>3</v>
      </c>
      <c r="B993" s="41" t="str">
        <f>VLOOKUP($B991,'BANG LUONG 1'!$B$5:$AJ$50,C993,0)</f>
        <v>GS Vườn rau</v>
      </c>
      <c r="C993" s="421">
        <v>3</v>
      </c>
      <c r="D993" s="41"/>
    </row>
    <row r="994" spans="1:5">
      <c r="A994" s="421" t="s">
        <v>376</v>
      </c>
      <c r="B994" s="410">
        <f>VLOOKUP($B991,'BANG LUONG 1'!$B$4:$AJ$55,4,0)</f>
        <v>42086</v>
      </c>
      <c r="C994" s="421">
        <v>4</v>
      </c>
      <c r="D994" s="41"/>
    </row>
    <row r="995" spans="1:5">
      <c r="A995" s="421" t="s">
        <v>698</v>
      </c>
      <c r="B995" s="411">
        <f>VLOOKUP(B991,'BANG LUONG 1'!$B$4:$AJ$55,6,0)</f>
        <v>0.04</v>
      </c>
      <c r="C995" s="421">
        <v>5</v>
      </c>
      <c r="D995" s="41"/>
    </row>
    <row r="996" spans="1:5">
      <c r="A996" s="421" t="s">
        <v>229</v>
      </c>
      <c r="B996" s="412">
        <f>'thang luong moi'!$F$5</f>
        <v>4012500</v>
      </c>
      <c r="C996" s="421">
        <v>6</v>
      </c>
      <c r="D996" s="41"/>
    </row>
    <row r="997" spans="1:5">
      <c r="A997" s="421" t="s">
        <v>217</v>
      </c>
      <c r="B997" s="412" t="str">
        <f>VLOOKUP(B991,'BANG LUONG 1'!$B$4:$AJ$55,8,0)</f>
        <v>B.01</v>
      </c>
      <c r="C997" s="421">
        <v>7</v>
      </c>
      <c r="D997" s="41"/>
    </row>
    <row r="998" spans="1:5">
      <c r="A998" s="421" t="s">
        <v>230</v>
      </c>
      <c r="B998" s="412">
        <f>VLOOKUP(B991,'BANG LUONG 1'!$B$4:$AJ$55,9,0)</f>
        <v>1</v>
      </c>
      <c r="C998" s="421">
        <v>8</v>
      </c>
      <c r="D998" s="41"/>
    </row>
    <row r="999" spans="1:5">
      <c r="A999" s="421" t="s">
        <v>538</v>
      </c>
      <c r="B999" s="412">
        <f>VLOOKUP(B991,'BANG LUONG 1'!$B$4:$AJ$55,11,0)</f>
        <v>4381650</v>
      </c>
      <c r="C999" s="421">
        <v>9</v>
      </c>
      <c r="D999" s="41"/>
    </row>
    <row r="1000" spans="1:5">
      <c r="A1000" s="421" t="s">
        <v>354</v>
      </c>
      <c r="B1000" s="412">
        <f>VLOOKUP(B991,'BANG LUONG 1'!$B$4:$AJ$55,12,0)</f>
        <v>27</v>
      </c>
      <c r="C1000" s="421">
        <v>10</v>
      </c>
      <c r="D1000" s="41"/>
    </row>
    <row r="1001" spans="1:5">
      <c r="A1001" s="421" t="s">
        <v>534</v>
      </c>
      <c r="B1001" s="412">
        <f>VLOOKUP(B991,'BANG LUONG 1'!$B$4:$AJ$55,13,0)</f>
        <v>4550175</v>
      </c>
      <c r="C1001" s="421">
        <v>11</v>
      </c>
      <c r="D1001" s="41"/>
    </row>
    <row r="1002" spans="1:5">
      <c r="A1002" s="421" t="s">
        <v>592</v>
      </c>
      <c r="B1002" s="412">
        <f>VLOOKUP(B991,'BANG LUONG 1'!$B$4:$AJ$55,14,0)</f>
        <v>0</v>
      </c>
      <c r="C1002" s="421">
        <v>12</v>
      </c>
      <c r="D1002" s="41">
        <f>B999/26*B1002</f>
        <v>0</v>
      </c>
    </row>
    <row r="1003" spans="1:5">
      <c r="A1003" s="421" t="s">
        <v>357</v>
      </c>
      <c r="B1003" s="412">
        <f>VLOOKUP(B991,'BANG LUONG 1'!$B$4:$AJ$55,15,0)</f>
        <v>0</v>
      </c>
      <c r="C1003" s="421">
        <v>13</v>
      </c>
      <c r="D1003" s="41">
        <f>B999/26/8*1.5*B1003</f>
        <v>0</v>
      </c>
    </row>
    <row r="1004" spans="1:5">
      <c r="A1004" s="421" t="s">
        <v>387</v>
      </c>
      <c r="B1004" s="412">
        <f>VLOOKUP(B991,'BANG LUONG 1'!$B$4:$AJ$55,16,0)</f>
        <v>0</v>
      </c>
      <c r="C1004" s="421">
        <v>14</v>
      </c>
      <c r="D1004" s="41">
        <f>B999/26/8*2*B1004</f>
        <v>0</v>
      </c>
    </row>
    <row r="1005" spans="1:5">
      <c r="A1005" s="421" t="s">
        <v>593</v>
      </c>
      <c r="B1005" s="412">
        <f>VLOOKUP(B991,'BANG LUONG 1'!$B$4:$AJ$55,17,0)</f>
        <v>0</v>
      </c>
      <c r="C1005" s="421"/>
      <c r="D1005" s="41">
        <f>(B999/26)*B1005</f>
        <v>0</v>
      </c>
    </row>
    <row r="1006" spans="1:5">
      <c r="A1006" s="421" t="s">
        <v>388</v>
      </c>
      <c r="B1006" s="412">
        <f>VLOOKUP(B991,'BANG LUONG 1'!$B$4:$AJ$55,18,0)</f>
        <v>0</v>
      </c>
      <c r="C1006" s="421">
        <v>15</v>
      </c>
      <c r="D1006" s="41">
        <f>(B999/26*B1006)*3</f>
        <v>0</v>
      </c>
    </row>
    <row r="1007" spans="1:5">
      <c r="A1007" s="421" t="s">
        <v>533</v>
      </c>
      <c r="B1007" s="412">
        <f>VLOOKUP(B991,'BANG LUONG 1'!$B$4:$AJ$55,19,0)</f>
        <v>5380944.230769231</v>
      </c>
      <c r="C1007" s="183">
        <v>16</v>
      </c>
      <c r="D1007" s="185">
        <f>B1001+D1003+D1004+D1002+D1006+D1005</f>
        <v>4550175</v>
      </c>
      <c r="E1007" s="108"/>
    </row>
    <row r="1008" spans="1:5">
      <c r="A1008" s="421" t="s">
        <v>535</v>
      </c>
      <c r="B1008" s="412">
        <f>VLOOKUP(B991,'BANG LUONG 1'!$B$4:$AJ$55,20,0)</f>
        <v>0</v>
      </c>
      <c r="C1008" s="421">
        <v>17</v>
      </c>
      <c r="D1008" s="41"/>
    </row>
    <row r="1009" spans="1:5">
      <c r="A1009" s="421" t="s">
        <v>370</v>
      </c>
      <c r="B1009" s="412">
        <f>VLOOKUP(B991,'BANG LUONG 1'!$B$4:$AJ$55,22,0)</f>
        <v>175266</v>
      </c>
      <c r="C1009" s="421">
        <v>18</v>
      </c>
      <c r="D1009" s="41"/>
    </row>
    <row r="1010" spans="1:5">
      <c r="A1010" s="421" t="s">
        <v>371</v>
      </c>
      <c r="B1010" s="412">
        <f>VLOOKUP(B991,'BANG LUONG 1'!$B$4:$AJ$55,23,0)</f>
        <v>300000</v>
      </c>
      <c r="C1010" s="421">
        <v>19</v>
      </c>
      <c r="D1010" s="41"/>
    </row>
    <row r="1011" spans="1:5">
      <c r="A1011" s="421" t="s">
        <v>560</v>
      </c>
      <c r="B1011" s="412">
        <f>VLOOKUP(B991,'BANG LUONG 1'!$B$4:$AJ$55,24,0)</f>
        <v>800000</v>
      </c>
      <c r="C1011" s="421">
        <v>22</v>
      </c>
      <c r="D1011" s="41"/>
    </row>
    <row r="1012" spans="1:5">
      <c r="A1012" s="183" t="s">
        <v>237</v>
      </c>
      <c r="B1012" s="415">
        <f>VLOOKUP(B991,'BANG LUONG 1'!$B$4:$AJ$55,26,0)</f>
        <v>5856210.230769231</v>
      </c>
      <c r="C1012" s="421">
        <v>24</v>
      </c>
      <c r="D1012" s="41"/>
    </row>
    <row r="1013" spans="1:5">
      <c r="A1013" s="421" t="s">
        <v>545</v>
      </c>
      <c r="B1013" s="412">
        <f>VLOOKUP(B991,'BANG LUONG 1'!$B$4:$AJ$55,27,0)</f>
        <v>2000000</v>
      </c>
      <c r="C1013" s="421">
        <v>25</v>
      </c>
      <c r="D1013" s="41"/>
    </row>
    <row r="1014" spans="1:5">
      <c r="A1014" s="421" t="s">
        <v>544</v>
      </c>
      <c r="B1014" s="412">
        <f>VLOOKUP(B991,'BANG LUONG 1'!$B$4:$AJ$55,28,0)</f>
        <v>0</v>
      </c>
      <c r="C1014" s="421">
        <v>26</v>
      </c>
      <c r="D1014" s="41"/>
    </row>
    <row r="1015" spans="1:5">
      <c r="A1015" s="421" t="s">
        <v>713</v>
      </c>
      <c r="B1015" s="415">
        <f>VLOOKUP(B991,'BANG LUONG 1'!$B$4:$AJ$55,32,0)</f>
        <v>0</v>
      </c>
      <c r="C1015" s="421"/>
      <c r="D1015" s="41"/>
    </row>
    <row r="1016" spans="1:5">
      <c r="A1016" s="421" t="s">
        <v>714</v>
      </c>
      <c r="B1016" s="415">
        <f>VLOOKUP(B991,'BANG LUONG 1'!$B$4:$AJ$55,33,0)</f>
        <v>0</v>
      </c>
      <c r="C1016" s="421"/>
      <c r="D1016" s="41"/>
    </row>
    <row r="1017" spans="1:5">
      <c r="A1017" s="183" t="s">
        <v>707</v>
      </c>
      <c r="B1017" s="415">
        <f>VLOOKUP(B991,'BANG LUONG 1'!$B$4:$AJ$55,30,0)</f>
        <v>0</v>
      </c>
      <c r="C1017" s="421"/>
      <c r="D1017" s="41"/>
      <c r="E1017" s="108" t="str">
        <f>B992</f>
        <v>Ngô Đình Chung</v>
      </c>
    </row>
    <row r="1018" spans="1:5">
      <c r="A1018" s="183" t="s">
        <v>546</v>
      </c>
      <c r="B1018" s="415">
        <f>VLOOKUP(B991,'BANG LUONG 1'!$B$4:$AJ$55,35,0)</f>
        <v>3856000</v>
      </c>
      <c r="C1018" s="421"/>
      <c r="D1018" s="41"/>
    </row>
    <row r="1019" spans="1:5">
      <c r="A1019" s="184" t="s">
        <v>549</v>
      </c>
      <c r="B1019" s="424">
        <f>'BANG LUONG 1'!$P$2</f>
        <v>43702</v>
      </c>
    </row>
    <row r="1020" spans="1:5">
      <c r="A1020" s="183" t="s">
        <v>1</v>
      </c>
      <c r="B1020" s="185" t="s">
        <v>163</v>
      </c>
      <c r="C1020" s="421">
        <v>1</v>
      </c>
      <c r="D1020" s="41"/>
    </row>
    <row r="1021" spans="1:5">
      <c r="A1021" s="183" t="s">
        <v>2</v>
      </c>
      <c r="B1021" s="185" t="str">
        <f>VLOOKUP($B1020,'BANG LUONG 1'!$B$5:$AB$50,C1021,0)</f>
        <v>Lương Trường Giang</v>
      </c>
      <c r="C1021" s="421">
        <v>2</v>
      </c>
      <c r="D1021" s="41"/>
    </row>
    <row r="1022" spans="1:5">
      <c r="A1022" s="421" t="s">
        <v>3</v>
      </c>
      <c r="B1022" s="41" t="str">
        <f>VLOOKUP($B1020,'BANG LUONG 1'!$B$5:$AJ$50,C1022,0)</f>
        <v xml:space="preserve">Công nhân </v>
      </c>
      <c r="C1022" s="421">
        <v>3</v>
      </c>
      <c r="D1022" s="41"/>
    </row>
    <row r="1023" spans="1:5">
      <c r="A1023" s="421" t="s">
        <v>376</v>
      </c>
      <c r="B1023" s="410">
        <f>VLOOKUP($B1020,'BANG LUONG 1'!$B$4:$AJ$55,4,0)</f>
        <v>43619</v>
      </c>
      <c r="C1023" s="421">
        <v>4</v>
      </c>
      <c r="D1023" s="41"/>
    </row>
    <row r="1024" spans="1:5">
      <c r="A1024" s="421" t="s">
        <v>698</v>
      </c>
      <c r="B1024" s="411">
        <f>VLOOKUP(B1020,'BANG LUONG 1'!$B$4:$AJ$55,6,0)</f>
        <v>0</v>
      </c>
      <c r="C1024" s="421">
        <v>5</v>
      </c>
      <c r="D1024" s="41"/>
    </row>
    <row r="1025" spans="1:5">
      <c r="A1025" s="421" t="s">
        <v>229</v>
      </c>
      <c r="B1025" s="412">
        <f>'thang luong moi'!$F$5</f>
        <v>4012500</v>
      </c>
      <c r="C1025" s="421">
        <v>6</v>
      </c>
      <c r="D1025" s="41"/>
    </row>
    <row r="1026" spans="1:5">
      <c r="A1026" s="421" t="s">
        <v>217</v>
      </c>
      <c r="B1026" s="412" t="str">
        <f>VLOOKUP(B1020,'BANG LUONG 1'!$B$4:$AJ$55,8,0)</f>
        <v>B.05</v>
      </c>
      <c r="C1026" s="421">
        <v>7</v>
      </c>
      <c r="D1026" s="41"/>
    </row>
    <row r="1027" spans="1:5">
      <c r="A1027" s="421" t="s">
        <v>230</v>
      </c>
      <c r="B1027" s="412">
        <f>VLOOKUP(B1020,'BANG LUONG 1'!$B$4:$AJ$55,9,0)</f>
        <v>1</v>
      </c>
      <c r="C1027" s="421">
        <v>8</v>
      </c>
      <c r="D1027" s="41"/>
    </row>
    <row r="1028" spans="1:5">
      <c r="A1028" s="421" t="s">
        <v>538</v>
      </c>
      <c r="B1028" s="412">
        <f>VLOOKUP(B1020,'BANG LUONG 1'!$B$4:$AJ$55,11,0)</f>
        <v>4213125</v>
      </c>
      <c r="C1028" s="421">
        <v>9</v>
      </c>
      <c r="D1028" s="41"/>
    </row>
    <row r="1029" spans="1:5">
      <c r="A1029" s="421" t="s">
        <v>354</v>
      </c>
      <c r="B1029" s="412">
        <f>VLOOKUP(B1020,'BANG LUONG 1'!$B$4:$AJ$55,12,0)</f>
        <v>27</v>
      </c>
      <c r="C1029" s="421">
        <v>10</v>
      </c>
      <c r="D1029" s="41"/>
    </row>
    <row r="1030" spans="1:5">
      <c r="A1030" s="421" t="s">
        <v>534</v>
      </c>
      <c r="B1030" s="412">
        <f>VLOOKUP(B1020,'BANG LUONG 1'!$B$4:$AJ$55,13,0)</f>
        <v>4375168.269230769</v>
      </c>
      <c r="C1030" s="421">
        <v>11</v>
      </c>
      <c r="D1030" s="41"/>
    </row>
    <row r="1031" spans="1:5">
      <c r="A1031" s="421" t="s">
        <v>592</v>
      </c>
      <c r="B1031" s="412">
        <f>VLOOKUP(B1020,'BANG LUONG 1'!$B$4:$AJ$55,14,0)</f>
        <v>0</v>
      </c>
      <c r="C1031" s="421">
        <v>12</v>
      </c>
      <c r="D1031" s="41">
        <f>B1028/26*B1031</f>
        <v>0</v>
      </c>
    </row>
    <row r="1032" spans="1:5">
      <c r="A1032" s="421" t="s">
        <v>357</v>
      </c>
      <c r="B1032" s="412">
        <f>VLOOKUP(B1020,'BANG LUONG 1'!$B$4:$AJ$55,15,0)</f>
        <v>0</v>
      </c>
      <c r="C1032" s="421">
        <v>13</v>
      </c>
      <c r="D1032" s="41">
        <f>B1028/26/8*1.5*B1032</f>
        <v>0</v>
      </c>
    </row>
    <row r="1033" spans="1:5">
      <c r="A1033" s="421" t="s">
        <v>387</v>
      </c>
      <c r="B1033" s="412">
        <f>VLOOKUP(B1020,'BANG LUONG 1'!$B$4:$AJ$55,16,0)</f>
        <v>0</v>
      </c>
      <c r="C1033" s="421">
        <v>14</v>
      </c>
      <c r="D1033" s="41">
        <f>B1028/26/8*2*B1033</f>
        <v>0</v>
      </c>
    </row>
    <row r="1034" spans="1:5">
      <c r="A1034" s="421" t="s">
        <v>593</v>
      </c>
      <c r="B1034" s="412">
        <f>VLOOKUP(B1020,'BANG LUONG 1'!$B$4:$AJ$55,17,0)</f>
        <v>0</v>
      </c>
      <c r="C1034" s="421"/>
      <c r="D1034" s="41">
        <f>(B1028/26)*B1034</f>
        <v>0</v>
      </c>
    </row>
    <row r="1035" spans="1:5">
      <c r="A1035" s="421" t="s">
        <v>388</v>
      </c>
      <c r="B1035" s="412">
        <f>VLOOKUP(B1020,'BANG LUONG 1'!$B$4:$AJ$55,18,0)</f>
        <v>0</v>
      </c>
      <c r="C1035" s="421">
        <v>15</v>
      </c>
      <c r="D1035" s="41">
        <f>(B1028/26*B1035)*3</f>
        <v>0</v>
      </c>
    </row>
    <row r="1036" spans="1:5">
      <c r="A1036" s="421" t="s">
        <v>533</v>
      </c>
      <c r="B1036" s="412">
        <f>VLOOKUP(B1020,'BANG LUONG 1'!$B$4:$AJ$55,19,0)</f>
        <v>4375168.269230769</v>
      </c>
      <c r="C1036" s="183">
        <v>16</v>
      </c>
      <c r="D1036" s="185">
        <f>B1030+D1032+D1033+D1031+D1035+D1034</f>
        <v>4375168.269230769</v>
      </c>
      <c r="E1036" s="108"/>
    </row>
    <row r="1037" spans="1:5">
      <c r="A1037" s="421" t="s">
        <v>535</v>
      </c>
      <c r="B1037" s="412">
        <f>VLOOKUP(B1020,'BANG LUONG 1'!$B$4:$AJ$55,20,0)</f>
        <v>-4130756.7307692305</v>
      </c>
      <c r="C1037" s="421">
        <v>17</v>
      </c>
      <c r="D1037" s="41"/>
    </row>
    <row r="1038" spans="1:5">
      <c r="A1038" s="421" t="s">
        <v>370</v>
      </c>
      <c r="B1038" s="412">
        <f>VLOOKUP(B1020,'BANG LUONG 1'!$B$4:$AJ$55,22,0)</f>
        <v>0</v>
      </c>
      <c r="C1038" s="421">
        <v>18</v>
      </c>
      <c r="D1038" s="41"/>
    </row>
    <row r="1039" spans="1:5">
      <c r="A1039" s="421" t="s">
        <v>371</v>
      </c>
      <c r="B1039" s="412">
        <f>VLOOKUP(B1020,'BANG LUONG 1'!$B$4:$AJ$55,23,0)</f>
        <v>300000</v>
      </c>
      <c r="C1039" s="421">
        <v>19</v>
      </c>
      <c r="D1039" s="41"/>
    </row>
    <row r="1040" spans="1:5">
      <c r="A1040" s="421" t="s">
        <v>560</v>
      </c>
      <c r="B1040" s="412">
        <f>VLOOKUP(B1020,'BANG LUONG 1'!$B$4:$AJ$55,24,0)</f>
        <v>0</v>
      </c>
      <c r="C1040" s="421">
        <v>22</v>
      </c>
      <c r="D1040" s="41"/>
    </row>
    <row r="1041" spans="1:5">
      <c r="A1041" s="183" t="s">
        <v>237</v>
      </c>
      <c r="B1041" s="415">
        <f>VLOOKUP(B1020,'BANG LUONG 1'!$B$4:$AJ$55,26,0)</f>
        <v>544411.5384615385</v>
      </c>
      <c r="C1041" s="421">
        <v>24</v>
      </c>
      <c r="D1041" s="41"/>
    </row>
    <row r="1042" spans="1:5">
      <c r="A1042" s="421" t="s">
        <v>545</v>
      </c>
      <c r="B1042" s="412">
        <f>VLOOKUP(B1020,'BANG LUONG 1'!$B$4:$AJ$55,27,0)</f>
        <v>0</v>
      </c>
      <c r="C1042" s="421">
        <v>25</v>
      </c>
      <c r="D1042" s="41"/>
    </row>
    <row r="1043" spans="1:5">
      <c r="A1043" s="421" t="s">
        <v>544</v>
      </c>
      <c r="B1043" s="412">
        <f>VLOOKUP(B1020,'BANG LUONG 1'!$B$4:$AJ$55,28,0)</f>
        <v>0</v>
      </c>
      <c r="C1043" s="421">
        <v>26</v>
      </c>
      <c r="D1043" s="41"/>
    </row>
    <row r="1044" spans="1:5">
      <c r="A1044" s="421" t="s">
        <v>713</v>
      </c>
      <c r="B1044" s="415">
        <f>VLOOKUP(B1020,'BANG LUONG 1'!$B$4:$AJ$55,32,0)</f>
        <v>0</v>
      </c>
      <c r="C1044" s="421"/>
      <c r="D1044" s="41"/>
    </row>
    <row r="1045" spans="1:5">
      <c r="A1045" s="421" t="s">
        <v>714</v>
      </c>
      <c r="B1045" s="415">
        <f>VLOOKUP(B1020,'BANG LUONG 1'!$B$4:$AJ$55,33,0)</f>
        <v>0</v>
      </c>
      <c r="C1045" s="421"/>
      <c r="D1045" s="41"/>
    </row>
    <row r="1046" spans="1:5">
      <c r="A1046" s="183" t="s">
        <v>707</v>
      </c>
      <c r="B1046" s="415">
        <f>VLOOKUP(B1020,'BANG LUONG 1'!$B$4:$AJ$55,30,0)</f>
        <v>0</v>
      </c>
      <c r="C1046" s="421"/>
      <c r="D1046" s="41"/>
      <c r="E1046" s="108" t="str">
        <f>B1021</f>
        <v>Lương Trường Giang</v>
      </c>
    </row>
    <row r="1047" spans="1:5">
      <c r="A1047" s="183" t="s">
        <v>546</v>
      </c>
      <c r="B1047" s="415">
        <f>VLOOKUP(B1020,'BANG LUONG 1'!$B$4:$AJ$55,35,0)</f>
        <v>544000</v>
      </c>
      <c r="C1047" s="421"/>
      <c r="D1047" s="41"/>
    </row>
    <row r="1048" spans="1:5">
      <c r="A1048" s="184" t="s">
        <v>549</v>
      </c>
      <c r="B1048" s="424">
        <f>'BANG LUONG 1'!$P$2</f>
        <v>43702</v>
      </c>
    </row>
    <row r="1049" spans="1:5">
      <c r="A1049" s="183" t="s">
        <v>1</v>
      </c>
      <c r="B1049" s="185" t="s">
        <v>164</v>
      </c>
      <c r="C1049" s="421">
        <v>1</v>
      </c>
      <c r="D1049" s="41"/>
    </row>
    <row r="1050" spans="1:5">
      <c r="A1050" s="183" t="s">
        <v>2</v>
      </c>
      <c r="B1050" s="185" t="str">
        <f>VLOOKUP($B1049,'BANG LUONG 1'!$B$5:$AB$50,C1050,0)</f>
        <v>Bùi Trọng Nghĩa</v>
      </c>
      <c r="C1050" s="421">
        <v>2</v>
      </c>
      <c r="D1050" s="41"/>
    </row>
    <row r="1051" spans="1:5">
      <c r="A1051" s="421" t="s">
        <v>3</v>
      </c>
      <c r="B1051" s="41" t="str">
        <f>VLOOKUP($B1049,'BANG LUONG 1'!$B$5:$AJ$50,C1051,0)</f>
        <v xml:space="preserve">Công nhân </v>
      </c>
      <c r="C1051" s="421">
        <v>3</v>
      </c>
      <c r="D1051" s="41"/>
    </row>
    <row r="1052" spans="1:5">
      <c r="A1052" s="421" t="s">
        <v>376</v>
      </c>
      <c r="B1052" s="410">
        <f>VLOOKUP($B1049,'BANG LUONG 1'!$B$4:$AJ$55,4,0)</f>
        <v>43620</v>
      </c>
      <c r="C1052" s="421">
        <v>4</v>
      </c>
      <c r="D1052" s="41"/>
    </row>
    <row r="1053" spans="1:5">
      <c r="A1053" s="421" t="s">
        <v>698</v>
      </c>
      <c r="B1053" s="411">
        <f>VLOOKUP(B1049,'BANG LUONG 1'!$B$4:$AJ$55,6,0)</f>
        <v>0</v>
      </c>
      <c r="C1053" s="421">
        <v>5</v>
      </c>
      <c r="D1053" s="41"/>
    </row>
    <row r="1054" spans="1:5">
      <c r="A1054" s="421" t="s">
        <v>229</v>
      </c>
      <c r="B1054" s="412">
        <f>'thang luong moi'!$F$5</f>
        <v>4012500</v>
      </c>
      <c r="C1054" s="421">
        <v>6</v>
      </c>
      <c r="D1054" s="41"/>
    </row>
    <row r="1055" spans="1:5">
      <c r="A1055" s="421" t="s">
        <v>217</v>
      </c>
      <c r="B1055" s="412" t="str">
        <f>VLOOKUP(B1049,'BANG LUONG 1'!$B$4:$AJ$55,8,0)</f>
        <v>B.05</v>
      </c>
      <c r="C1055" s="421">
        <v>7</v>
      </c>
      <c r="D1055" s="41"/>
    </row>
    <row r="1056" spans="1:5">
      <c r="A1056" s="421" t="s">
        <v>230</v>
      </c>
      <c r="B1056" s="412">
        <f>VLOOKUP(B1049,'BANG LUONG 1'!$B$4:$AJ$55,9,0)</f>
        <v>1</v>
      </c>
      <c r="C1056" s="421">
        <v>8</v>
      </c>
      <c r="D1056" s="41"/>
    </row>
    <row r="1057" spans="1:5">
      <c r="A1057" s="421" t="s">
        <v>538</v>
      </c>
      <c r="B1057" s="412">
        <f>VLOOKUP(B1049,'BANG LUONG 1'!$B$4:$AJ$55,11,0)</f>
        <v>4213125</v>
      </c>
      <c r="C1057" s="421">
        <v>9</v>
      </c>
      <c r="D1057" s="41"/>
    </row>
    <row r="1058" spans="1:5">
      <c r="A1058" s="421" t="s">
        <v>354</v>
      </c>
      <c r="B1058" s="412">
        <f>VLOOKUP(B1049,'BANG LUONG 1'!$B$4:$AJ$55,12,0)</f>
        <v>27</v>
      </c>
      <c r="C1058" s="421">
        <v>10</v>
      </c>
      <c r="D1058" s="41"/>
    </row>
    <row r="1059" spans="1:5">
      <c r="A1059" s="421" t="s">
        <v>534</v>
      </c>
      <c r="B1059" s="412">
        <f>VLOOKUP(B1049,'BANG LUONG 1'!$B$4:$AJ$55,13,0)</f>
        <v>4375168.269230769</v>
      </c>
      <c r="C1059" s="421">
        <v>11</v>
      </c>
      <c r="D1059" s="41"/>
    </row>
    <row r="1060" spans="1:5">
      <c r="A1060" s="421" t="s">
        <v>592</v>
      </c>
      <c r="B1060" s="412">
        <f>VLOOKUP(B1049,'BANG LUONG 1'!$B$4:$AJ$55,14,0)</f>
        <v>0</v>
      </c>
      <c r="C1060" s="421">
        <v>12</v>
      </c>
      <c r="D1060" s="41">
        <f>B1057/26*B1060</f>
        <v>0</v>
      </c>
    </row>
    <row r="1061" spans="1:5">
      <c r="A1061" s="421" t="s">
        <v>357</v>
      </c>
      <c r="B1061" s="412">
        <f>VLOOKUP(B1049,'BANG LUONG 1'!$B$4:$AJ$55,15,0)</f>
        <v>0</v>
      </c>
      <c r="C1061" s="421">
        <v>13</v>
      </c>
      <c r="D1061" s="41">
        <f>B1057/26/8*1.5*B1061</f>
        <v>0</v>
      </c>
    </row>
    <row r="1062" spans="1:5">
      <c r="A1062" s="421" t="s">
        <v>387</v>
      </c>
      <c r="B1062" s="412">
        <f>VLOOKUP(B1049,'BANG LUONG 1'!$B$4:$AJ$55,16,0)</f>
        <v>0</v>
      </c>
      <c r="C1062" s="421">
        <v>14</v>
      </c>
      <c r="D1062" s="41">
        <f>B1057/26/8*2*B1062</f>
        <v>0</v>
      </c>
    </row>
    <row r="1063" spans="1:5">
      <c r="A1063" s="421" t="s">
        <v>593</v>
      </c>
      <c r="B1063" s="412">
        <f>VLOOKUP(B1049,'BANG LUONG 1'!$B$4:$AJ$55,17,0)</f>
        <v>0</v>
      </c>
      <c r="C1063" s="421"/>
      <c r="D1063" s="41">
        <f>(B1057/26)*B1063</f>
        <v>0</v>
      </c>
    </row>
    <row r="1064" spans="1:5">
      <c r="A1064" s="421" t="s">
        <v>388</v>
      </c>
      <c r="B1064" s="412">
        <f>VLOOKUP(B1049,'BANG LUONG 1'!$B$4:$AJ$55,18,0)</f>
        <v>0</v>
      </c>
      <c r="C1064" s="421">
        <v>15</v>
      </c>
      <c r="D1064" s="41">
        <f>(B1057/26*B1064)*3</f>
        <v>0</v>
      </c>
    </row>
    <row r="1065" spans="1:5">
      <c r="A1065" s="421" t="s">
        <v>533</v>
      </c>
      <c r="B1065" s="412">
        <f>VLOOKUP(B1049,'BANG LUONG 1'!$B$4:$AJ$55,19,0)</f>
        <v>4375168.269230769</v>
      </c>
      <c r="C1065" s="183">
        <v>16</v>
      </c>
      <c r="D1065" s="185">
        <f>B1059+D1061+D1062+D1060+D1064+D1063</f>
        <v>4375168.269230769</v>
      </c>
      <c r="E1065" s="108"/>
    </row>
    <row r="1066" spans="1:5">
      <c r="A1066" s="421" t="s">
        <v>535</v>
      </c>
      <c r="B1066" s="412">
        <f>VLOOKUP(B1049,'BANG LUONG 1'!$B$4:$AJ$55,20,0)</f>
        <v>-4117214.423076923</v>
      </c>
      <c r="C1066" s="421">
        <v>17</v>
      </c>
      <c r="D1066" s="41"/>
    </row>
    <row r="1067" spans="1:5">
      <c r="A1067" s="421" t="s">
        <v>370</v>
      </c>
      <c r="B1067" s="412">
        <f>VLOOKUP(B1049,'BANG LUONG 1'!$B$4:$AJ$55,22,0)</f>
        <v>0</v>
      </c>
      <c r="C1067" s="421">
        <v>18</v>
      </c>
      <c r="D1067" s="41"/>
    </row>
    <row r="1068" spans="1:5">
      <c r="A1068" s="421" t="s">
        <v>371</v>
      </c>
      <c r="B1068" s="412">
        <f>VLOOKUP(B1049,'BANG LUONG 1'!$B$4:$AJ$55,23,0)</f>
        <v>300000</v>
      </c>
      <c r="C1068" s="421">
        <v>19</v>
      </c>
      <c r="D1068" s="41"/>
    </row>
    <row r="1069" spans="1:5">
      <c r="A1069" s="421" t="s">
        <v>560</v>
      </c>
      <c r="B1069" s="412">
        <f>VLOOKUP(B1049,'BANG LUONG 1'!$B$4:$AJ$55,24,0)</f>
        <v>0</v>
      </c>
      <c r="C1069" s="421">
        <v>22</v>
      </c>
      <c r="D1069" s="41"/>
    </row>
    <row r="1070" spans="1:5">
      <c r="A1070" s="183" t="s">
        <v>237</v>
      </c>
      <c r="B1070" s="415">
        <f>VLOOKUP(B1049,'BANG LUONG 1'!$B$4:$AJ$55,26,0)</f>
        <v>557953.84615384601</v>
      </c>
      <c r="C1070" s="421">
        <v>24</v>
      </c>
      <c r="D1070" s="41"/>
    </row>
    <row r="1071" spans="1:5">
      <c r="A1071" s="421" t="s">
        <v>545</v>
      </c>
      <c r="B1071" s="412">
        <f>VLOOKUP(B1049,'BANG LUONG 1'!$B$4:$AJ$55,27,0)</f>
        <v>4000000</v>
      </c>
      <c r="C1071" s="421">
        <v>25</v>
      </c>
      <c r="D1071" s="41"/>
    </row>
    <row r="1072" spans="1:5">
      <c r="A1072" s="421" t="s">
        <v>544</v>
      </c>
      <c r="B1072" s="412">
        <f>VLOOKUP(B1049,'BANG LUONG 1'!$B$4:$AJ$55,28,0)</f>
        <v>0</v>
      </c>
      <c r="C1072" s="421">
        <v>26</v>
      </c>
      <c r="D1072" s="41"/>
    </row>
    <row r="1073" spans="1:5">
      <c r="A1073" s="421" t="s">
        <v>713</v>
      </c>
      <c r="B1073" s="415">
        <f>VLOOKUP(B1049,'BANG LUONG 1'!$B$4:$AJ$55,32,0)</f>
        <v>0</v>
      </c>
      <c r="C1073" s="421"/>
      <c r="D1073" s="41"/>
    </row>
    <row r="1074" spans="1:5">
      <c r="A1074" s="421" t="s">
        <v>714</v>
      </c>
      <c r="B1074" s="415">
        <f>VLOOKUP(B1049,'BANG LUONG 1'!$B$4:$AJ$55,33,0)</f>
        <v>0</v>
      </c>
      <c r="C1074" s="421"/>
      <c r="D1074" s="41"/>
    </row>
    <row r="1075" spans="1:5">
      <c r="A1075" s="183" t="s">
        <v>707</v>
      </c>
      <c r="B1075" s="415">
        <f>VLOOKUP(B1049,'BANG LUONG 1'!$B$4:$AJ$55,30,0)</f>
        <v>0</v>
      </c>
      <c r="C1075" s="421"/>
      <c r="D1075" s="41"/>
      <c r="E1075" s="108" t="str">
        <f>B1050</f>
        <v>Bùi Trọng Nghĩa</v>
      </c>
    </row>
    <row r="1076" spans="1:5">
      <c r="A1076" s="183" t="s">
        <v>546</v>
      </c>
      <c r="B1076" s="415">
        <f>VLOOKUP(B1049,'BANG LUONG 1'!$B$4:$AJ$55,35,0)</f>
        <v>-3442000</v>
      </c>
      <c r="C1076" s="421"/>
      <c r="D1076" s="41"/>
    </row>
    <row r="1077" spans="1:5">
      <c r="A1077" s="184" t="s">
        <v>549</v>
      </c>
      <c r="B1077" s="424">
        <f>'BANG LUONG 1'!$P$2</f>
        <v>43702</v>
      </c>
    </row>
    <row r="1078" spans="1:5">
      <c r="A1078" s="183" t="s">
        <v>1</v>
      </c>
      <c r="B1078" s="185" t="s">
        <v>166</v>
      </c>
      <c r="C1078" s="421">
        <v>1</v>
      </c>
      <c r="D1078" s="41"/>
    </row>
    <row r="1079" spans="1:5">
      <c r="A1079" s="183" t="s">
        <v>2</v>
      </c>
      <c r="B1079" s="185" t="str">
        <f>VLOOKUP($B1078,'BANG LUONG 1'!$B$5:$AB$50,C1079,0)</f>
        <v>Nguyễn Đình Tâm</v>
      </c>
      <c r="C1079" s="421">
        <v>2</v>
      </c>
      <c r="D1079" s="41"/>
    </row>
    <row r="1080" spans="1:5">
      <c r="A1080" s="421" t="s">
        <v>3</v>
      </c>
      <c r="B1080" s="41" t="str">
        <f>VLOOKUP($B1078,'BANG LUONG 1'!$B$5:$AJ$50,C1080,0)</f>
        <v xml:space="preserve">Công nhân </v>
      </c>
      <c r="C1080" s="421">
        <v>3</v>
      </c>
      <c r="D1080" s="41"/>
    </row>
    <row r="1081" spans="1:5">
      <c r="A1081" s="421" t="s">
        <v>376</v>
      </c>
      <c r="B1081" s="410">
        <f>VLOOKUP($B1078,'BANG LUONG 1'!$B$4:$AJ$55,4,0)</f>
        <v>43648</v>
      </c>
      <c r="C1081" s="421">
        <v>4</v>
      </c>
      <c r="D1081" s="41"/>
    </row>
    <row r="1082" spans="1:5">
      <c r="A1082" s="421" t="s">
        <v>698</v>
      </c>
      <c r="B1082" s="411">
        <f>VLOOKUP(B1078,'BANG LUONG 1'!$B$4:$AJ$55,6,0)</f>
        <v>0</v>
      </c>
      <c r="C1082" s="421">
        <v>5</v>
      </c>
      <c r="D1082" s="41"/>
    </row>
    <row r="1083" spans="1:5">
      <c r="A1083" s="421" t="s">
        <v>229</v>
      </c>
      <c r="B1083" s="412">
        <f>'thang luong moi'!$F$5</f>
        <v>4012500</v>
      </c>
      <c r="C1083" s="421">
        <v>6</v>
      </c>
      <c r="D1083" s="41"/>
    </row>
    <row r="1084" spans="1:5">
      <c r="A1084" s="421" t="s">
        <v>217</v>
      </c>
      <c r="B1084" s="412" t="str">
        <f>VLOOKUP(B1078,'BANG LUONG 1'!$B$4:$AJ$55,8,0)</f>
        <v>B.05</v>
      </c>
      <c r="C1084" s="421">
        <v>7</v>
      </c>
      <c r="D1084" s="41"/>
    </row>
    <row r="1085" spans="1:5">
      <c r="A1085" s="421" t="s">
        <v>230</v>
      </c>
      <c r="B1085" s="412">
        <f>VLOOKUP(B1078,'BANG LUONG 1'!$B$4:$AJ$55,9,0)</f>
        <v>1</v>
      </c>
      <c r="C1085" s="421">
        <v>8</v>
      </c>
      <c r="D1085" s="41"/>
    </row>
    <row r="1086" spans="1:5">
      <c r="A1086" s="421" t="s">
        <v>538</v>
      </c>
      <c r="B1086" s="412">
        <f>VLOOKUP(B1078,'BANG LUONG 1'!$B$4:$AJ$55,11,0)</f>
        <v>4213125</v>
      </c>
      <c r="C1086" s="421">
        <v>9</v>
      </c>
      <c r="D1086" s="41"/>
    </row>
    <row r="1087" spans="1:5">
      <c r="A1087" s="421" t="s">
        <v>354</v>
      </c>
      <c r="B1087" s="412">
        <f>VLOOKUP(B1078,'BANG LUONG 1'!$B$4:$AJ$55,12,0)</f>
        <v>27</v>
      </c>
      <c r="C1087" s="421">
        <v>10</v>
      </c>
      <c r="D1087" s="41"/>
    </row>
    <row r="1088" spans="1:5">
      <c r="A1088" s="421" t="s">
        <v>534</v>
      </c>
      <c r="B1088" s="412">
        <f>VLOOKUP(B1078,'BANG LUONG 1'!$B$4:$AJ$55,13,0)</f>
        <v>4375168.269230769</v>
      </c>
      <c r="C1088" s="421">
        <v>11</v>
      </c>
      <c r="D1088" s="41"/>
    </row>
    <row r="1089" spans="1:11">
      <c r="A1089" s="421" t="s">
        <v>592</v>
      </c>
      <c r="B1089" s="412">
        <f>VLOOKUP(B1078,'BANG LUONG 1'!$B$4:$AJ$55,14,0)</f>
        <v>0</v>
      </c>
      <c r="C1089" s="421">
        <v>12</v>
      </c>
      <c r="D1089" s="41">
        <f>B1086/26*B1089</f>
        <v>0</v>
      </c>
    </row>
    <row r="1090" spans="1:11">
      <c r="A1090" s="421" t="s">
        <v>357</v>
      </c>
      <c r="B1090" s="412">
        <f>VLOOKUP(B1078,'BANG LUONG 1'!$B$4:$AJ$55,15,0)</f>
        <v>0</v>
      </c>
      <c r="C1090" s="421">
        <v>13</v>
      </c>
      <c r="D1090" s="41">
        <f>B1086/26/8*1.5*B1090</f>
        <v>0</v>
      </c>
    </row>
    <row r="1091" spans="1:11">
      <c r="A1091" s="421" t="s">
        <v>387</v>
      </c>
      <c r="B1091" s="412">
        <f>VLOOKUP(B1078,'BANG LUONG 1'!$B$4:$AJ$55,16,0)</f>
        <v>0</v>
      </c>
      <c r="C1091" s="421">
        <v>14</v>
      </c>
      <c r="D1091" s="41">
        <f>B1086/26/8*2*B1091</f>
        <v>0</v>
      </c>
    </row>
    <row r="1092" spans="1:11">
      <c r="A1092" s="421" t="s">
        <v>593</v>
      </c>
      <c r="B1092" s="412">
        <f>VLOOKUP(B1078,'BANG LUONG 1'!$B$4:$AJ$55,17,0)</f>
        <v>0</v>
      </c>
      <c r="C1092" s="421"/>
      <c r="D1092" s="41">
        <f>(B1086/26)*B1092</f>
        <v>0</v>
      </c>
    </row>
    <row r="1093" spans="1:11">
      <c r="A1093" s="421" t="s">
        <v>388</v>
      </c>
      <c r="B1093" s="412">
        <f>VLOOKUP(B1078,'BANG LUONG 1'!$B$4:$AJ$55,18,0)</f>
        <v>0</v>
      </c>
      <c r="C1093" s="421">
        <v>15</v>
      </c>
      <c r="D1093" s="41">
        <f>(B1086/26*B1093)*3</f>
        <v>0</v>
      </c>
    </row>
    <row r="1094" spans="1:11">
      <c r="A1094" s="421" t="s">
        <v>533</v>
      </c>
      <c r="B1094" s="412">
        <f>VLOOKUP(B1078,'BANG LUONG 1'!$B$4:$AJ$55,19,0)</f>
        <v>4375168.269230769</v>
      </c>
      <c r="C1094" s="183">
        <v>16</v>
      </c>
      <c r="D1094" s="185">
        <f>B1088+D1090+D1091+D1089+D1093+D1092</f>
        <v>4375168.269230769</v>
      </c>
      <c r="E1094" s="108"/>
    </row>
    <row r="1095" spans="1:11">
      <c r="A1095" s="421" t="s">
        <v>535</v>
      </c>
      <c r="B1095" s="412">
        <f>VLOOKUP(B1078,'BANG LUONG 1'!$B$4:$AJ$55,20,0)</f>
        <v>-4375168.269230769</v>
      </c>
      <c r="C1095" s="421">
        <v>17</v>
      </c>
      <c r="D1095" s="41"/>
    </row>
    <row r="1096" spans="1:11">
      <c r="A1096" s="421" t="s">
        <v>370</v>
      </c>
      <c r="B1096" s="412">
        <f>VLOOKUP(B1078,'BANG LUONG 1'!$B$4:$AJ$55,22,0)</f>
        <v>0</v>
      </c>
      <c r="C1096" s="421">
        <v>18</v>
      </c>
      <c r="D1096" s="41"/>
    </row>
    <row r="1097" spans="1:11">
      <c r="A1097" s="421" t="s">
        <v>371</v>
      </c>
      <c r="B1097" s="412">
        <f>VLOOKUP(B1078,'BANG LUONG 1'!$B$4:$AJ$55,23,0)</f>
        <v>300000</v>
      </c>
      <c r="C1097" s="421">
        <v>19</v>
      </c>
      <c r="D1097" s="41"/>
    </row>
    <row r="1098" spans="1:11">
      <c r="A1098" s="421" t="s">
        <v>560</v>
      </c>
      <c r="B1098" s="412">
        <f>VLOOKUP(B1078,'BANG LUONG 1'!$B$4:$AJ$55,24,0)</f>
        <v>0</v>
      </c>
      <c r="C1098" s="421">
        <v>22</v>
      </c>
      <c r="D1098" s="41"/>
    </row>
    <row r="1099" spans="1:11">
      <c r="A1099" s="183" t="s">
        <v>237</v>
      </c>
      <c r="B1099" s="415">
        <f>VLOOKUP(B1078,'BANG LUONG 1'!$B$4:$AJ$55,26,0)</f>
        <v>300000</v>
      </c>
      <c r="C1099" s="421">
        <v>24</v>
      </c>
      <c r="D1099" s="41"/>
    </row>
    <row r="1100" spans="1:11">
      <c r="A1100" s="421" t="s">
        <v>545</v>
      </c>
      <c r="B1100" s="412">
        <f>VLOOKUP(B1078,'BANG LUONG 1'!$B$4:$AJ$55,27,0)</f>
        <v>4000000</v>
      </c>
      <c r="C1100" s="421">
        <v>25</v>
      </c>
      <c r="D1100" s="41"/>
    </row>
    <row r="1101" spans="1:11">
      <c r="A1101" s="421" t="s">
        <v>544</v>
      </c>
      <c r="B1101" s="412">
        <f>VLOOKUP(B1078,'BANG LUONG 1'!$B$4:$AJ$55,28,0)</f>
        <v>0</v>
      </c>
      <c r="C1101" s="421">
        <v>26</v>
      </c>
      <c r="D1101" s="41"/>
      <c r="K1101" t="s">
        <v>767</v>
      </c>
    </row>
    <row r="1102" spans="1:11">
      <c r="A1102" s="421" t="s">
        <v>713</v>
      </c>
      <c r="B1102" s="415">
        <f>VLOOKUP(B1078,'BANG LUONG 1'!$B$4:$AJ$55,32,0)</f>
        <v>0</v>
      </c>
      <c r="C1102" s="421"/>
      <c r="D1102" s="41"/>
    </row>
    <row r="1103" spans="1:11">
      <c r="A1103" s="421" t="s">
        <v>714</v>
      </c>
      <c r="B1103" s="415">
        <f>VLOOKUP(B1078,'BANG LUONG 1'!$B$4:$AJ$55,33,0)</f>
        <v>0</v>
      </c>
      <c r="C1103" s="421"/>
      <c r="D1103" s="41"/>
    </row>
    <row r="1104" spans="1:11">
      <c r="A1104" s="183" t="s">
        <v>707</v>
      </c>
      <c r="B1104" s="415">
        <f>VLOOKUP(B1078,'BANG LUONG 1'!$B$4:$AJ$55,30,0)</f>
        <v>0</v>
      </c>
      <c r="C1104" s="421"/>
      <c r="D1104" s="41"/>
      <c r="E1104" s="108" t="str">
        <f>B1079</f>
        <v>Nguyễn Đình Tâm</v>
      </c>
    </row>
    <row r="1105" spans="1:4" ht="15.75" customHeight="1">
      <c r="A1105" s="183" t="s">
        <v>546</v>
      </c>
      <c r="B1105" s="415">
        <f>VLOOKUP(B1078,'BANG LUONG 1'!$B$4:$AJ$55,35,0)</f>
        <v>-3700000</v>
      </c>
      <c r="C1105" s="421"/>
      <c r="D1105" s="41"/>
    </row>
    <row r="1106" spans="1:4">
      <c r="A1106" s="184" t="s">
        <v>549</v>
      </c>
      <c r="B1106" s="424">
        <f>'BANG LUONG 1'!$P$2</f>
        <v>43702</v>
      </c>
    </row>
    <row r="1107" spans="1:4" ht="15.75" customHeight="1">
      <c r="A1107" s="183" t="s">
        <v>1</v>
      </c>
      <c r="B1107" s="185" t="s">
        <v>167</v>
      </c>
      <c r="C1107" s="421">
        <v>1</v>
      </c>
      <c r="D1107" s="41"/>
    </row>
    <row r="1108" spans="1:4" ht="15.75" customHeight="1">
      <c r="A1108" s="183" t="s">
        <v>2</v>
      </c>
      <c r="B1108" s="185" t="str">
        <f>VLOOKUP($B1107,'BANG LUONG 1'!$B$5:$AB$53,C1108,0)</f>
        <v>Phùng Nhật Nam</v>
      </c>
      <c r="C1108" s="421">
        <v>2</v>
      </c>
      <c r="D1108" s="41"/>
    </row>
    <row r="1109" spans="1:4" ht="15.75" customHeight="1">
      <c r="A1109" s="421" t="s">
        <v>3</v>
      </c>
      <c r="B1109" s="41" t="str">
        <f>VLOOKUP($B1107,'BANG LUONG 1'!$B$5:$AJ$53,C1109,0)</f>
        <v>Công nhân</v>
      </c>
      <c r="C1109" s="421">
        <v>3</v>
      </c>
      <c r="D1109" s="41"/>
    </row>
    <row r="1110" spans="1:4" ht="15.75" customHeight="1">
      <c r="A1110" s="421" t="s">
        <v>376</v>
      </c>
      <c r="B1110" s="410">
        <f>VLOOKUP($B1107,'BANG LUONG 1'!$B$4:$AJ$55,4,0)</f>
        <v>43668</v>
      </c>
      <c r="C1110" s="421">
        <v>4</v>
      </c>
      <c r="D1110" s="41"/>
    </row>
    <row r="1111" spans="1:4" ht="15.75" customHeight="1">
      <c r="A1111" s="421" t="s">
        <v>698</v>
      </c>
      <c r="B1111" s="411">
        <f>VLOOKUP(B1107,'BANG LUONG 1'!$B$4:$AJ$55,6,0)</f>
        <v>0</v>
      </c>
      <c r="C1111" s="421">
        <v>5</v>
      </c>
      <c r="D1111" s="41"/>
    </row>
    <row r="1112" spans="1:4" ht="15.75" customHeight="1">
      <c r="A1112" s="421" t="s">
        <v>229</v>
      </c>
      <c r="B1112" s="412">
        <f>'thang luong moi'!$F$5</f>
        <v>4012500</v>
      </c>
      <c r="C1112" s="421">
        <v>6</v>
      </c>
      <c r="D1112" s="41"/>
    </row>
    <row r="1113" spans="1:4" ht="15.75" customHeight="1">
      <c r="A1113" s="421" t="s">
        <v>217</v>
      </c>
      <c r="B1113" s="412" t="str">
        <f>VLOOKUP(B1107,'BANG LUONG 1'!$B$4:$AJ$55,8,0)</f>
        <v>B.05</v>
      </c>
      <c r="C1113" s="421">
        <v>7</v>
      </c>
      <c r="D1113" s="41"/>
    </row>
    <row r="1114" spans="1:4" ht="15.75" customHeight="1">
      <c r="A1114" s="421" t="s">
        <v>230</v>
      </c>
      <c r="B1114" s="412">
        <f>VLOOKUP(B1107,'BANG LUONG 1'!$B$4:$AJ$55,9,0)</f>
        <v>1</v>
      </c>
      <c r="C1114" s="421">
        <v>8</v>
      </c>
      <c r="D1114" s="41"/>
    </row>
    <row r="1115" spans="1:4" ht="13.5" customHeight="1">
      <c r="A1115" s="421" t="s">
        <v>538</v>
      </c>
      <c r="B1115" s="412">
        <f>VLOOKUP(B1107,'BANG LUONG 1'!$B$4:$AJ$55,11,0)</f>
        <v>4213125</v>
      </c>
      <c r="C1115" s="421">
        <v>9</v>
      </c>
      <c r="D1115" s="41"/>
    </row>
    <row r="1116" spans="1:4">
      <c r="A1116" s="421" t="s">
        <v>354</v>
      </c>
      <c r="B1116" s="412">
        <f>VLOOKUP(B1107,'BANG LUONG 1'!$B$4:$AJ$55,12,0)</f>
        <v>27</v>
      </c>
      <c r="C1116" s="421">
        <v>10</v>
      </c>
      <c r="D1116" s="41"/>
    </row>
    <row r="1117" spans="1:4">
      <c r="A1117" s="421" t="s">
        <v>534</v>
      </c>
      <c r="B1117" s="412">
        <f>VLOOKUP(B1107,'BANG LUONG 1'!$B$4:$AJ$55,13,0)</f>
        <v>4375168.269230769</v>
      </c>
      <c r="C1117" s="421">
        <v>11</v>
      </c>
      <c r="D1117" s="41"/>
    </row>
    <row r="1118" spans="1:4">
      <c r="A1118" s="421" t="s">
        <v>592</v>
      </c>
      <c r="B1118" s="412">
        <f>VLOOKUP(B1107,'BANG LUONG 1'!$B$4:$AJ$55,14,0)</f>
        <v>0</v>
      </c>
      <c r="C1118" s="421">
        <v>12</v>
      </c>
      <c r="D1118" s="41">
        <f>B1115/26*B1118</f>
        <v>0</v>
      </c>
    </row>
    <row r="1119" spans="1:4">
      <c r="A1119" s="421" t="s">
        <v>357</v>
      </c>
      <c r="B1119" s="412">
        <f>VLOOKUP(B1107,'BANG LUONG 1'!$B$4:$AJ$55,15,0)</f>
        <v>0</v>
      </c>
      <c r="C1119" s="421">
        <v>13</v>
      </c>
      <c r="D1119" s="41">
        <f>B1115/26/8*1.5*B1119</f>
        <v>0</v>
      </c>
    </row>
    <row r="1120" spans="1:4">
      <c r="A1120" s="421" t="s">
        <v>387</v>
      </c>
      <c r="B1120" s="412">
        <f>VLOOKUP(B1107,'BANG LUONG 1'!$B$4:$AJ$55,16,0)</f>
        <v>0</v>
      </c>
      <c r="C1120" s="421">
        <v>14</v>
      </c>
      <c r="D1120" s="41">
        <f>B1115/26/8*2*B1120</f>
        <v>0</v>
      </c>
    </row>
    <row r="1121" spans="1:5">
      <c r="A1121" s="421" t="s">
        <v>593</v>
      </c>
      <c r="B1121" s="412">
        <f>VLOOKUP(B1107,'BANG LUONG 1'!$B$4:$AJ$55,17,0)</f>
        <v>0</v>
      </c>
      <c r="C1121" s="421"/>
      <c r="D1121" s="41">
        <f>(B1115/26)*B1121</f>
        <v>0</v>
      </c>
    </row>
    <row r="1122" spans="1:5">
      <c r="A1122" s="421" t="s">
        <v>388</v>
      </c>
      <c r="B1122" s="412">
        <f>VLOOKUP(B1107,'BANG LUONG 1'!$B$4:$AJ$55,18,0)</f>
        <v>0</v>
      </c>
      <c r="C1122" s="421">
        <v>15</v>
      </c>
      <c r="D1122" s="41">
        <f>(B1115/26*B1122)*3</f>
        <v>0</v>
      </c>
    </row>
    <row r="1123" spans="1:5">
      <c r="A1123" s="421" t="s">
        <v>533</v>
      </c>
      <c r="B1123" s="412">
        <f>VLOOKUP(B1107,'BANG LUONG 1'!$B$4:$AJ$55,19,0)</f>
        <v>4375168.269230769</v>
      </c>
      <c r="C1123" s="183">
        <v>16</v>
      </c>
      <c r="D1123" s="185">
        <f>B1117+D1119+D1120+D1118+D1122+D1121</f>
        <v>4375168.269230769</v>
      </c>
      <c r="E1123" s="108"/>
    </row>
    <row r="1124" spans="1:5">
      <c r="A1124" s="421" t="s">
        <v>535</v>
      </c>
      <c r="B1124" s="412">
        <f>VLOOKUP(B1107,'BANG LUONG 1'!$B$4:$AJ$55,20,0)</f>
        <v>-4375168.269230769</v>
      </c>
      <c r="C1124" s="421">
        <v>17</v>
      </c>
      <c r="D1124" s="41"/>
    </row>
    <row r="1125" spans="1:5">
      <c r="A1125" s="421" t="s">
        <v>370</v>
      </c>
      <c r="B1125" s="412">
        <f>VLOOKUP(B1107,'BANG LUONG 1'!$B$4:$AJ$55,22,0)</f>
        <v>0</v>
      </c>
      <c r="C1125" s="421">
        <v>18</v>
      </c>
      <c r="D1125" s="41"/>
    </row>
    <row r="1126" spans="1:5">
      <c r="A1126" s="421" t="s">
        <v>371</v>
      </c>
      <c r="B1126" s="412">
        <f>VLOOKUP(B1107,'BANG LUONG 1'!$B$4:$AJ$55,23,0)</f>
        <v>300000</v>
      </c>
      <c r="C1126" s="421">
        <v>19</v>
      </c>
      <c r="D1126" s="41"/>
    </row>
    <row r="1127" spans="1:5">
      <c r="A1127" s="421" t="s">
        <v>560</v>
      </c>
      <c r="B1127" s="412">
        <f>VLOOKUP(B1107,'BANG LUONG 1'!$B$4:$AJ$55,24,0)</f>
        <v>0</v>
      </c>
      <c r="C1127" s="421">
        <v>22</v>
      </c>
      <c r="D1127" s="41"/>
    </row>
    <row r="1128" spans="1:5">
      <c r="A1128" s="183" t="s">
        <v>237</v>
      </c>
      <c r="B1128" s="415">
        <f>VLOOKUP(B1107,'BANG LUONG 1'!$B$4:$AJ$55,26,0)</f>
        <v>300000</v>
      </c>
      <c r="C1128" s="421">
        <v>24</v>
      </c>
      <c r="D1128" s="41"/>
    </row>
    <row r="1129" spans="1:5">
      <c r="A1129" s="421" t="s">
        <v>545</v>
      </c>
      <c r="B1129" s="412">
        <f>VLOOKUP(B1107,'BANG LUONG 1'!$B$4:$AJ$55,27,0)</f>
        <v>3000000</v>
      </c>
      <c r="C1129" s="421">
        <v>25</v>
      </c>
      <c r="D1129" s="41"/>
    </row>
    <row r="1130" spans="1:5">
      <c r="A1130" s="421" t="s">
        <v>544</v>
      </c>
      <c r="B1130" s="412">
        <f>VLOOKUP(B1107,'BANG LUONG 1'!$B$4:$AJ$55,28,0)</f>
        <v>0</v>
      </c>
      <c r="C1130" s="421">
        <v>26</v>
      </c>
      <c r="D1130" s="41"/>
    </row>
    <row r="1131" spans="1:5">
      <c r="A1131" s="421" t="s">
        <v>713</v>
      </c>
      <c r="B1131" s="415">
        <f>VLOOKUP(B1107,'BANG LUONG 1'!$B$4:$AJ$55,32,0)</f>
        <v>0</v>
      </c>
      <c r="C1131" s="421"/>
      <c r="D1131" s="41"/>
    </row>
    <row r="1132" spans="1:5">
      <c r="A1132" s="421" t="s">
        <v>714</v>
      </c>
      <c r="B1132" s="415">
        <f>VLOOKUP(B1107,'BANG LUONG 1'!$B$4:$AJ$55,33,0)</f>
        <v>0</v>
      </c>
      <c r="C1132" s="421"/>
      <c r="D1132" s="41"/>
    </row>
    <row r="1133" spans="1:5">
      <c r="A1133" s="183" t="s">
        <v>707</v>
      </c>
      <c r="B1133" s="415">
        <f>VLOOKUP(B1107,'BANG LUONG 1'!$B$4:$AJ$55,30,0)</f>
        <v>0</v>
      </c>
      <c r="C1133" s="421"/>
      <c r="D1133" s="41"/>
      <c r="E1133" s="108" t="str">
        <f>B1108</f>
        <v>Phùng Nhật Nam</v>
      </c>
    </row>
    <row r="1134" spans="1:5" ht="15" customHeight="1">
      <c r="A1134" s="183" t="s">
        <v>546</v>
      </c>
      <c r="B1134" s="415">
        <f>VLOOKUP(B1107,'BANG LUONG 1'!$B$4:$AJ$55,35,0)</f>
        <v>-2700000</v>
      </c>
      <c r="C1134" s="421"/>
      <c r="D1134" s="41"/>
    </row>
    <row r="1135" spans="1:5" ht="12.75" customHeight="1">
      <c r="A1135" s="184" t="s">
        <v>549</v>
      </c>
      <c r="B1135" s="424">
        <f>'BANG LUONG 1'!$P$2</f>
        <v>43702</v>
      </c>
    </row>
    <row r="1136" spans="1:5" ht="15" customHeight="1">
      <c r="A1136" s="183" t="s">
        <v>1</v>
      </c>
      <c r="B1136" s="185" t="s">
        <v>164</v>
      </c>
      <c r="C1136" s="421">
        <v>1</v>
      </c>
      <c r="D1136" s="41"/>
    </row>
    <row r="1137" spans="1:5" ht="15" customHeight="1">
      <c r="A1137" s="183" t="s">
        <v>2</v>
      </c>
      <c r="B1137" s="185" t="str">
        <f>VLOOKUP($B1136,'BANG LUONG 1'!$B$5:$AB$50,C1137,0)</f>
        <v>Bùi Trọng Nghĩa</v>
      </c>
      <c r="C1137" s="421">
        <v>2</v>
      </c>
      <c r="D1137" s="41"/>
    </row>
    <row r="1138" spans="1:5" ht="15" customHeight="1">
      <c r="A1138" s="421" t="s">
        <v>3</v>
      </c>
      <c r="B1138" s="41" t="str">
        <f>VLOOKUP($B1136,'BANG LUONG 1'!$B$5:$AJ$50,C1138,0)</f>
        <v xml:space="preserve">Công nhân </v>
      </c>
      <c r="C1138" s="421">
        <v>3</v>
      </c>
      <c r="D1138" s="41"/>
    </row>
    <row r="1139" spans="1:5" ht="15" customHeight="1">
      <c r="A1139" s="421" t="s">
        <v>376</v>
      </c>
      <c r="B1139" s="410">
        <f>VLOOKUP($B1136,'BANG LUONG 1'!$B$4:$AJ$55,4,0)</f>
        <v>43620</v>
      </c>
      <c r="C1139" s="421">
        <v>4</v>
      </c>
      <c r="D1139" s="41"/>
    </row>
    <row r="1140" spans="1:5" ht="15" customHeight="1">
      <c r="A1140" s="421" t="s">
        <v>698</v>
      </c>
      <c r="B1140" s="411">
        <f>VLOOKUP(B1136,'BANG LUONG 1'!$B$4:$AJ$55,6,0)</f>
        <v>0</v>
      </c>
      <c r="C1140" s="421">
        <v>5</v>
      </c>
      <c r="D1140" s="41"/>
    </row>
    <row r="1141" spans="1:5" ht="15" customHeight="1">
      <c r="A1141" s="421" t="s">
        <v>229</v>
      </c>
      <c r="B1141" s="412">
        <f>'thang luong moi'!$F$5</f>
        <v>4012500</v>
      </c>
      <c r="C1141" s="421">
        <v>6</v>
      </c>
      <c r="D1141" s="41"/>
    </row>
    <row r="1142" spans="1:5" ht="15" customHeight="1">
      <c r="A1142" s="421" t="s">
        <v>217</v>
      </c>
      <c r="B1142" s="412" t="str">
        <f>VLOOKUP(B1136,'BANG LUONG 1'!$B$4:$AJ$55,8,0)</f>
        <v>B.05</v>
      </c>
      <c r="C1142" s="421">
        <v>7</v>
      </c>
      <c r="D1142" s="41"/>
    </row>
    <row r="1143" spans="1:5" ht="15" customHeight="1">
      <c r="A1143" s="421" t="s">
        <v>230</v>
      </c>
      <c r="B1143" s="412">
        <f>VLOOKUP(B1136,'BANG LUONG 1'!$B$4:$AJ$55,9,0)</f>
        <v>1</v>
      </c>
      <c r="C1143" s="421">
        <v>8</v>
      </c>
      <c r="D1143" s="41"/>
    </row>
    <row r="1144" spans="1:5" ht="15" customHeight="1">
      <c r="A1144" s="421" t="s">
        <v>538</v>
      </c>
      <c r="B1144" s="412">
        <f>VLOOKUP(B1136,'BANG LUONG 1'!$B$4:$AJ$55,11,0)</f>
        <v>4213125</v>
      </c>
      <c r="C1144" s="421">
        <v>9</v>
      </c>
      <c r="D1144" s="41"/>
    </row>
    <row r="1145" spans="1:5" ht="15" customHeight="1">
      <c r="A1145" s="421" t="s">
        <v>354</v>
      </c>
      <c r="B1145" s="412">
        <f>VLOOKUP(B1136,'BANG LUONG 1'!$B$4:$AJ$55,12,0)</f>
        <v>27</v>
      </c>
      <c r="C1145" s="421">
        <v>10</v>
      </c>
      <c r="D1145" s="41"/>
    </row>
    <row r="1146" spans="1:5" ht="15" customHeight="1">
      <c r="A1146" s="421" t="s">
        <v>534</v>
      </c>
      <c r="B1146" s="412">
        <f>VLOOKUP(B1136,'BANG LUONG 1'!$B$4:$AJ$55,13,0)</f>
        <v>4375168.269230769</v>
      </c>
      <c r="C1146" s="421">
        <v>11</v>
      </c>
      <c r="D1146" s="41"/>
    </row>
    <row r="1147" spans="1:5" ht="15" customHeight="1">
      <c r="A1147" s="421" t="s">
        <v>592</v>
      </c>
      <c r="B1147" s="412">
        <f>VLOOKUP(B1136,'BANG LUONG 1'!$B$4:$AJ$55,14,0)</f>
        <v>0</v>
      </c>
      <c r="C1147" s="421">
        <v>12</v>
      </c>
      <c r="D1147" s="41">
        <f>B1144/26*B1147</f>
        <v>0</v>
      </c>
    </row>
    <row r="1148" spans="1:5" ht="15" customHeight="1">
      <c r="A1148" s="421" t="s">
        <v>357</v>
      </c>
      <c r="B1148" s="412">
        <f>VLOOKUP(B1136,'BANG LUONG 1'!$B$4:$AJ$55,15,0)</f>
        <v>0</v>
      </c>
      <c r="C1148" s="421">
        <v>13</v>
      </c>
      <c r="D1148" s="41">
        <f>B1144/26/8*1.5*B1148</f>
        <v>0</v>
      </c>
    </row>
    <row r="1149" spans="1:5" ht="15" customHeight="1">
      <c r="A1149" s="421" t="s">
        <v>387</v>
      </c>
      <c r="B1149" s="412">
        <f>VLOOKUP(B1136,'BANG LUONG 1'!$B$4:$AJ$55,16,0)</f>
        <v>0</v>
      </c>
      <c r="C1149" s="421">
        <v>14</v>
      </c>
      <c r="D1149" s="41">
        <f>B1144/26/8*2*B1149</f>
        <v>0</v>
      </c>
    </row>
    <row r="1150" spans="1:5" ht="15" customHeight="1">
      <c r="A1150" s="421" t="s">
        <v>593</v>
      </c>
      <c r="B1150" s="412">
        <f>VLOOKUP(B1136,'BANG LUONG 1'!$B$4:$AJ$55,17,0)</f>
        <v>0</v>
      </c>
      <c r="C1150" s="421"/>
      <c r="D1150" s="41">
        <f>(B1144/26)*B1150</f>
        <v>0</v>
      </c>
    </row>
    <row r="1151" spans="1:5" ht="15" customHeight="1">
      <c r="A1151" s="421" t="s">
        <v>388</v>
      </c>
      <c r="B1151" s="412">
        <f>VLOOKUP(B1136,'BANG LUONG 1'!$B$4:$AJ$55,18,0)</f>
        <v>0</v>
      </c>
      <c r="C1151" s="421">
        <v>15</v>
      </c>
      <c r="D1151" s="41">
        <f>(B1144/26*B1151)*3</f>
        <v>0</v>
      </c>
    </row>
    <row r="1152" spans="1:5" ht="15" customHeight="1">
      <c r="A1152" s="421" t="s">
        <v>533</v>
      </c>
      <c r="B1152" s="412">
        <f>VLOOKUP(B1136,'BANG LUONG 1'!$B$4:$AJ$55,19,0)</f>
        <v>4375168.269230769</v>
      </c>
      <c r="C1152" s="183">
        <v>16</v>
      </c>
      <c r="D1152" s="185">
        <f>B1146+D1148+D1149+D1147+D1151+D1150</f>
        <v>4375168.269230769</v>
      </c>
      <c r="E1152" s="108"/>
    </row>
    <row r="1153" spans="1:5" ht="15" customHeight="1">
      <c r="A1153" s="421" t="s">
        <v>535</v>
      </c>
      <c r="B1153" s="412">
        <f>VLOOKUP(B1136,'BANG LUONG 1'!$B$4:$AJ$55,20,0)</f>
        <v>-4117214.423076923</v>
      </c>
      <c r="C1153" s="421">
        <v>17</v>
      </c>
      <c r="D1153" s="41"/>
    </row>
    <row r="1154" spans="1:5" ht="15" customHeight="1">
      <c r="A1154" s="421" t="s">
        <v>370</v>
      </c>
      <c r="B1154" s="412">
        <f>VLOOKUP(B1136,'BANG LUONG 1'!$B$4:$AJ$55,22,0)</f>
        <v>0</v>
      </c>
      <c r="C1154" s="421">
        <v>18</v>
      </c>
      <c r="D1154" s="41"/>
    </row>
    <row r="1155" spans="1:5" ht="15" customHeight="1">
      <c r="A1155" s="421" t="s">
        <v>371</v>
      </c>
      <c r="B1155" s="412">
        <f>VLOOKUP(B1136,'BANG LUONG 1'!$B$4:$AJ$55,23,0)</f>
        <v>300000</v>
      </c>
      <c r="C1155" s="421">
        <v>19</v>
      </c>
      <c r="D1155" s="41"/>
    </row>
    <row r="1156" spans="1:5" ht="15" customHeight="1">
      <c r="A1156" s="421" t="s">
        <v>560</v>
      </c>
      <c r="B1156" s="412">
        <f>VLOOKUP(B1136,'BANG LUONG 1'!$B$4:$AJ$55,24,0)</f>
        <v>0</v>
      </c>
      <c r="C1156" s="421">
        <v>22</v>
      </c>
      <c r="D1156" s="41"/>
    </row>
    <row r="1157" spans="1:5" ht="15" customHeight="1">
      <c r="A1157" s="183" t="s">
        <v>237</v>
      </c>
      <c r="B1157" s="415">
        <f>VLOOKUP(B1136,'BANG LUONG 1'!$B$4:$AJ$55,26,0)</f>
        <v>557953.84615384601</v>
      </c>
      <c r="C1157" s="421">
        <v>24</v>
      </c>
      <c r="D1157" s="41"/>
    </row>
    <row r="1158" spans="1:5" ht="15" customHeight="1">
      <c r="A1158" s="421" t="s">
        <v>545</v>
      </c>
      <c r="B1158" s="412">
        <f>VLOOKUP(B1136,'BANG LUONG 1'!$B$4:$AJ$55,27,0)</f>
        <v>4000000</v>
      </c>
      <c r="C1158" s="421">
        <v>25</v>
      </c>
      <c r="D1158" s="41"/>
    </row>
    <row r="1159" spans="1:5" ht="15" customHeight="1">
      <c r="A1159" s="421" t="s">
        <v>544</v>
      </c>
      <c r="B1159" s="412">
        <f>VLOOKUP(B1136,'BANG LUONG 1'!$B$4:$AJ$55,28,0)</f>
        <v>0</v>
      </c>
      <c r="C1159" s="421">
        <v>26</v>
      </c>
      <c r="D1159" s="41"/>
    </row>
    <row r="1160" spans="1:5" ht="15" customHeight="1">
      <c r="A1160" s="421" t="s">
        <v>713</v>
      </c>
      <c r="B1160" s="415">
        <f>VLOOKUP(B1136,'BANG LUONG 1'!$B$4:$AJ$55,32,0)</f>
        <v>0</v>
      </c>
      <c r="C1160" s="421"/>
      <c r="D1160" s="41"/>
    </row>
    <row r="1161" spans="1:5" ht="15" customHeight="1">
      <c r="A1161" s="421" t="s">
        <v>714</v>
      </c>
      <c r="B1161" s="415">
        <f>VLOOKUP(B1136,'BANG LUONG 1'!$B$4:$AJ$55,33,0)</f>
        <v>0</v>
      </c>
      <c r="C1161" s="421"/>
      <c r="D1161" s="41"/>
    </row>
    <row r="1162" spans="1:5" ht="15" customHeight="1">
      <c r="A1162" s="183" t="s">
        <v>707</v>
      </c>
      <c r="B1162" s="415">
        <f>VLOOKUP(B1136,'BANG LUONG 1'!$B$4:$AJ$55,30,0)</f>
        <v>0</v>
      </c>
      <c r="C1162" s="421"/>
      <c r="D1162" s="41"/>
      <c r="E1162" s="108" t="str">
        <f>B1137</f>
        <v>Bùi Trọng Nghĩa</v>
      </c>
    </row>
    <row r="1163" spans="1:5" ht="12.75" customHeight="1">
      <c r="A1163" s="183" t="s">
        <v>546</v>
      </c>
      <c r="B1163" s="415">
        <f>VLOOKUP(B1136,'BANG LUONG 1'!$B$4:$AJ$55,35,0)</f>
        <v>-3442000</v>
      </c>
      <c r="C1163" s="421"/>
      <c r="D1163" s="41"/>
    </row>
    <row r="1164" spans="1:5">
      <c r="A1164" s="184" t="s">
        <v>549</v>
      </c>
      <c r="B1164" s="424">
        <f>'BANG LUONG 1'!$P$2</f>
        <v>43702</v>
      </c>
    </row>
    <row r="1165" spans="1:5">
      <c r="A1165" s="183" t="s">
        <v>1</v>
      </c>
      <c r="B1165" s="185" t="s">
        <v>165</v>
      </c>
      <c r="C1165" s="421">
        <v>1</v>
      </c>
      <c r="D1165" s="41"/>
    </row>
    <row r="1166" spans="1:5">
      <c r="A1166" s="183" t="s">
        <v>2</v>
      </c>
      <c r="B1166" s="185" t="e">
        <f>VLOOKUP($B1165,'BANG LUONG 1'!$B$5:$AB$50,C1166,0)</f>
        <v>#N/A</v>
      </c>
      <c r="C1166" s="421">
        <v>2</v>
      </c>
      <c r="D1166" s="41"/>
    </row>
    <row r="1167" spans="1:5">
      <c r="A1167" s="421" t="s">
        <v>3</v>
      </c>
      <c r="B1167" s="41" t="e">
        <f>VLOOKUP($B1165,'BANG LUONG 1'!$B$5:$AJ$50,C1167,0)</f>
        <v>#N/A</v>
      </c>
      <c r="C1167" s="421">
        <v>3</v>
      </c>
      <c r="D1167" s="41"/>
    </row>
    <row r="1168" spans="1:5">
      <c r="A1168" s="421" t="s">
        <v>376</v>
      </c>
      <c r="B1168" s="410">
        <f>VLOOKUP($B1165,'BANG LUONG 1'!$B$4:$AJ$55,4,0)</f>
        <v>43626</v>
      </c>
      <c r="C1168" s="421">
        <v>4</v>
      </c>
      <c r="D1168" s="41"/>
    </row>
    <row r="1169" spans="1:5">
      <c r="A1169" s="421" t="s">
        <v>698</v>
      </c>
      <c r="B1169" s="411">
        <f>VLOOKUP(B1165,'BANG LUONG 1'!$B$4:$AJ$55,6,0)</f>
        <v>0</v>
      </c>
      <c r="C1169" s="421">
        <v>5</v>
      </c>
      <c r="D1169" s="41"/>
    </row>
    <row r="1170" spans="1:5">
      <c r="A1170" s="421" t="s">
        <v>229</v>
      </c>
      <c r="B1170" s="412">
        <f>'thang luong moi'!$F$5</f>
        <v>4012500</v>
      </c>
      <c r="C1170" s="421">
        <v>6</v>
      </c>
      <c r="D1170" s="41"/>
    </row>
    <row r="1171" spans="1:5">
      <c r="A1171" s="421" t="s">
        <v>217</v>
      </c>
      <c r="B1171" s="412" t="str">
        <f>VLOOKUP(B1165,'BANG LUONG 1'!$B$4:$AJ$55,8,0)</f>
        <v>B.05</v>
      </c>
      <c r="C1171" s="421">
        <v>7</v>
      </c>
      <c r="D1171" s="41"/>
    </row>
    <row r="1172" spans="1:5">
      <c r="A1172" s="421" t="s">
        <v>230</v>
      </c>
      <c r="B1172" s="412">
        <f>VLOOKUP(B1165,'BANG LUONG 1'!$B$4:$AJ$55,9,0)</f>
        <v>1</v>
      </c>
      <c r="C1172" s="421">
        <v>8</v>
      </c>
      <c r="D1172" s="41"/>
    </row>
    <row r="1173" spans="1:5">
      <c r="A1173" s="421" t="s">
        <v>538</v>
      </c>
      <c r="B1173" s="412">
        <f>VLOOKUP(B1165,'BANG LUONG 1'!$B$4:$AJ$55,11,0)</f>
        <v>4213125</v>
      </c>
      <c r="C1173" s="421">
        <v>9</v>
      </c>
      <c r="D1173" s="41"/>
    </row>
    <row r="1174" spans="1:5">
      <c r="A1174" s="421" t="s">
        <v>354</v>
      </c>
      <c r="B1174" s="412">
        <f>VLOOKUP(B1165,'BANG LUONG 1'!$B$4:$AJ$55,12,0)</f>
        <v>27</v>
      </c>
      <c r="C1174" s="421">
        <v>10</v>
      </c>
      <c r="D1174" s="41"/>
    </row>
    <row r="1175" spans="1:5">
      <c r="A1175" s="421" t="s">
        <v>534</v>
      </c>
      <c r="B1175" s="412">
        <f>VLOOKUP(B1165,'BANG LUONG 1'!$B$4:$AJ$55,13,0)</f>
        <v>4375168.269230769</v>
      </c>
      <c r="C1175" s="421">
        <v>11</v>
      </c>
      <c r="D1175" s="41"/>
    </row>
    <row r="1176" spans="1:5">
      <c r="A1176" s="421" t="s">
        <v>592</v>
      </c>
      <c r="B1176" s="412">
        <f>VLOOKUP(B1165,'BANG LUONG 1'!$B$4:$AJ$55,14,0)</f>
        <v>0</v>
      </c>
      <c r="C1176" s="421">
        <v>12</v>
      </c>
      <c r="D1176" s="41">
        <f>B1173/26*B1176</f>
        <v>0</v>
      </c>
    </row>
    <row r="1177" spans="1:5">
      <c r="A1177" s="421" t="s">
        <v>357</v>
      </c>
      <c r="B1177" s="412">
        <f>VLOOKUP(B1165,'BANG LUONG 1'!$B$4:$AJ$55,15,0)</f>
        <v>0</v>
      </c>
      <c r="C1177" s="421">
        <v>13</v>
      </c>
      <c r="D1177" s="41">
        <f>B1173/26/8*1.5*B1177</f>
        <v>0</v>
      </c>
    </row>
    <row r="1178" spans="1:5">
      <c r="A1178" s="421" t="s">
        <v>387</v>
      </c>
      <c r="B1178" s="412">
        <f>VLOOKUP(B1165,'BANG LUONG 1'!$B$4:$AJ$55,16,0)</f>
        <v>0</v>
      </c>
      <c r="C1178" s="421">
        <v>14</v>
      </c>
      <c r="D1178" s="41">
        <f>B1173/26/8*2*B1178</f>
        <v>0</v>
      </c>
    </row>
    <row r="1179" spans="1:5">
      <c r="A1179" s="421" t="s">
        <v>593</v>
      </c>
      <c r="B1179" s="412">
        <f>VLOOKUP(B1165,'BANG LUONG 1'!$B$4:$AJ$55,17,0)</f>
        <v>0</v>
      </c>
      <c r="C1179" s="421"/>
      <c r="D1179" s="41">
        <f>(B1173/26)*B1179</f>
        <v>0</v>
      </c>
    </row>
    <row r="1180" spans="1:5">
      <c r="A1180" s="421" t="s">
        <v>388</v>
      </c>
      <c r="B1180" s="412">
        <f>VLOOKUP(B1165,'BANG LUONG 1'!$B$4:$AJ$55,18,0)</f>
        <v>0</v>
      </c>
      <c r="C1180" s="421">
        <v>15</v>
      </c>
      <c r="D1180" s="41">
        <f>(B1173/26*B1180)*3</f>
        <v>0</v>
      </c>
    </row>
    <row r="1181" spans="1:5">
      <c r="A1181" s="421" t="s">
        <v>533</v>
      </c>
      <c r="B1181" s="412">
        <f>VLOOKUP(B1165,'BANG LUONG 1'!$B$4:$AJ$55,19,0)</f>
        <v>4375168.269230769</v>
      </c>
      <c r="C1181" s="183">
        <v>16</v>
      </c>
      <c r="D1181" s="185">
        <f>B1175+D1177+D1178+D1176+D1180+D1179</f>
        <v>4375168.269230769</v>
      </c>
      <c r="E1181" s="108"/>
    </row>
    <row r="1182" spans="1:5">
      <c r="A1182" s="421" t="s">
        <v>535</v>
      </c>
      <c r="B1182" s="412">
        <f>VLOOKUP(B1165,'BANG LUONG 1'!$B$4:$AJ$55,20,0)</f>
        <v>-4375168.269230769</v>
      </c>
      <c r="C1182" s="421">
        <v>17</v>
      </c>
      <c r="D1182" s="41"/>
    </row>
    <row r="1183" spans="1:5">
      <c r="A1183" s="421" t="s">
        <v>370</v>
      </c>
      <c r="B1183" s="412">
        <f>VLOOKUP(B1165,'BANG LUONG 1'!$B$4:$AJ$55,22,0)</f>
        <v>0</v>
      </c>
      <c r="C1183" s="421">
        <v>18</v>
      </c>
      <c r="D1183" s="41"/>
    </row>
    <row r="1184" spans="1:5">
      <c r="A1184" s="421" t="s">
        <v>371</v>
      </c>
      <c r="B1184" s="412">
        <f>VLOOKUP(B1165,'BANG LUONG 1'!$B$4:$AJ$55,23,0)</f>
        <v>300000</v>
      </c>
      <c r="C1184" s="421">
        <v>19</v>
      </c>
      <c r="D1184" s="41"/>
    </row>
    <row r="1185" spans="1:5">
      <c r="A1185" s="421" t="s">
        <v>560</v>
      </c>
      <c r="B1185" s="412">
        <f>VLOOKUP(B1165,'BANG LUONG 1'!$B$4:$AJ$55,24,0)</f>
        <v>0</v>
      </c>
      <c r="C1185" s="421">
        <v>22</v>
      </c>
      <c r="D1185" s="41"/>
    </row>
    <row r="1186" spans="1:5">
      <c r="A1186" s="183" t="s">
        <v>237</v>
      </c>
      <c r="B1186" s="415">
        <f>VLOOKUP(B1165,'BANG LUONG 1'!$B$4:$AJ$55,26,0)</f>
        <v>300000</v>
      </c>
      <c r="C1186" s="421">
        <v>24</v>
      </c>
      <c r="D1186" s="41"/>
    </row>
    <row r="1187" spans="1:5">
      <c r="A1187" s="421" t="s">
        <v>545</v>
      </c>
      <c r="B1187" s="412">
        <f>VLOOKUP(B1165,'BANG LUONG 1'!$B$4:$AJ$55,27,0)</f>
        <v>0</v>
      </c>
      <c r="C1187" s="421">
        <v>25</v>
      </c>
      <c r="D1187" s="41"/>
    </row>
    <row r="1188" spans="1:5">
      <c r="A1188" s="421" t="s">
        <v>544</v>
      </c>
      <c r="B1188" s="412">
        <f>VLOOKUP(B1165,'BANG LUONG 1'!$B$4:$AJ$55,28,0)</f>
        <v>0</v>
      </c>
      <c r="C1188" s="421">
        <v>26</v>
      </c>
      <c r="D1188" s="41"/>
    </row>
    <row r="1189" spans="1:5">
      <c r="A1189" s="421" t="s">
        <v>713</v>
      </c>
      <c r="B1189" s="415">
        <f>VLOOKUP(B1165,'BANG LUONG 1'!$B$4:$AJ$55,32,0)</f>
        <v>0</v>
      </c>
      <c r="C1189" s="421"/>
      <c r="D1189" s="41"/>
    </row>
    <row r="1190" spans="1:5">
      <c r="A1190" s="421" t="s">
        <v>714</v>
      </c>
      <c r="B1190" s="415">
        <f>VLOOKUP(B1165,'BANG LUONG 1'!$B$4:$AJ$55,33,0)</f>
        <v>0</v>
      </c>
      <c r="C1190" s="421"/>
      <c r="D1190" s="41"/>
    </row>
    <row r="1191" spans="1:5">
      <c r="A1191" s="183" t="s">
        <v>707</v>
      </c>
      <c r="B1191" s="415">
        <f>VLOOKUP(B1165,'BANG LUONG 1'!$B$4:$AJ$55,30,0)</f>
        <v>0</v>
      </c>
      <c r="C1191" s="421"/>
      <c r="D1191" s="41"/>
      <c r="E1191" s="108" t="e">
        <f>B1166</f>
        <v>#N/A</v>
      </c>
    </row>
    <row r="1192" spans="1:5">
      <c r="A1192" s="183" t="s">
        <v>546</v>
      </c>
      <c r="B1192" s="415">
        <f>VLOOKUP(B1165,'BANG LUONG 1'!$B$4:$AJ$55,35,0)</f>
        <v>300000</v>
      </c>
      <c r="C1192" s="421"/>
      <c r="D1192" s="41"/>
    </row>
    <row r="1193" spans="1:5">
      <c r="A1193" s="183"/>
      <c r="B1193" s="412"/>
      <c r="C1193" s="421">
        <v>27</v>
      </c>
      <c r="D1193" s="185"/>
    </row>
    <row r="1194" spans="1:5">
      <c r="A1194" s="184" t="s">
        <v>549</v>
      </c>
      <c r="B1194" s="424">
        <f>'BANG LUONG 1'!$P$2</f>
        <v>43702</v>
      </c>
    </row>
    <row r="1195" spans="1:5">
      <c r="A1195" s="183" t="s">
        <v>1</v>
      </c>
      <c r="B1195" s="185" t="s">
        <v>118</v>
      </c>
      <c r="C1195" s="421">
        <v>1</v>
      </c>
      <c r="D1195" s="41"/>
    </row>
    <row r="1196" spans="1:5">
      <c r="A1196" s="183" t="s">
        <v>2</v>
      </c>
      <c r="B1196" s="185" t="str">
        <f>VLOOKUP($B1195,'BANG LUONG 1'!$B$5:$AB$50,C1196,0)</f>
        <v>Nguyễn Trọng Minh</v>
      </c>
      <c r="C1196" s="421">
        <v>2</v>
      </c>
      <c r="D1196" s="41"/>
    </row>
    <row r="1197" spans="1:5">
      <c r="A1197" s="421" t="s">
        <v>3</v>
      </c>
      <c r="B1197" s="41" t="str">
        <f>VLOOKUP($B1195,'BANG LUONG 1'!$B$5:$AJ$50,C1197,0)</f>
        <v>Đội trưởng XLB</v>
      </c>
      <c r="C1197" s="421">
        <v>3</v>
      </c>
      <c r="D1197" s="41"/>
    </row>
    <row r="1198" spans="1:5">
      <c r="A1198" s="421" t="s">
        <v>376</v>
      </c>
      <c r="B1198" s="410">
        <f>VLOOKUP($B1195,'BANG LUONG 1'!$B$4:$AJ$55,4,0)</f>
        <v>38838</v>
      </c>
      <c r="C1198" s="421">
        <v>4</v>
      </c>
      <c r="D1198" s="41"/>
    </row>
    <row r="1199" spans="1:5">
      <c r="A1199" s="421" t="s">
        <v>698</v>
      </c>
      <c r="B1199" s="411">
        <f>VLOOKUP(B1195,'BANG LUONG 1'!$B$4:$AJ$55,6,0)</f>
        <v>0.12999999999999998</v>
      </c>
      <c r="C1199" s="421">
        <v>5</v>
      </c>
      <c r="D1199" s="41"/>
    </row>
    <row r="1200" spans="1:5">
      <c r="A1200" s="421" t="s">
        <v>229</v>
      </c>
      <c r="B1200" s="412">
        <f>'thang luong moi'!$F$5</f>
        <v>4012500</v>
      </c>
      <c r="C1200" s="421">
        <v>6</v>
      </c>
      <c r="D1200" s="41"/>
    </row>
    <row r="1201" spans="1:5">
      <c r="A1201" s="421" t="s">
        <v>217</v>
      </c>
      <c r="B1201" s="412" t="str">
        <f>VLOOKUP(B1195,'BANG LUONG 1'!$B$4:$AJ$55,8,0)</f>
        <v>B.01</v>
      </c>
      <c r="C1201" s="421">
        <v>7</v>
      </c>
      <c r="D1201" s="41"/>
    </row>
    <row r="1202" spans="1:5">
      <c r="A1202" s="421" t="s">
        <v>230</v>
      </c>
      <c r="B1202" s="412">
        <f>VLOOKUP(B1195,'BANG LUONG 1'!$B$4:$AJ$55,9,0)</f>
        <v>2</v>
      </c>
      <c r="C1202" s="421">
        <v>8</v>
      </c>
      <c r="D1202" s="41"/>
    </row>
    <row r="1203" spans="1:5">
      <c r="A1203" s="421" t="s">
        <v>538</v>
      </c>
      <c r="B1203" s="412">
        <f>VLOOKUP(B1195,'BANG LUONG 1'!$B$4:$AJ$55,11,0)</f>
        <v>4895250</v>
      </c>
      <c r="C1203" s="421">
        <v>9</v>
      </c>
      <c r="D1203" s="41"/>
    </row>
    <row r="1204" spans="1:5">
      <c r="A1204" s="421" t="s">
        <v>354</v>
      </c>
      <c r="B1204" s="412">
        <f>VLOOKUP(B1195,'BANG LUONG 1'!$B$4:$AJ$55,12,0)</f>
        <v>27</v>
      </c>
      <c r="C1204" s="421">
        <v>10</v>
      </c>
      <c r="D1204" s="41"/>
    </row>
    <row r="1205" spans="1:5">
      <c r="A1205" s="421" t="s">
        <v>534</v>
      </c>
      <c r="B1205" s="412">
        <f>VLOOKUP(B1195,'BANG LUONG 1'!$B$4:$AJ$55,13,0)</f>
        <v>5083528.846153846</v>
      </c>
      <c r="C1205" s="421">
        <v>11</v>
      </c>
      <c r="D1205" s="41"/>
    </row>
    <row r="1206" spans="1:5">
      <c r="A1206" s="421" t="s">
        <v>592</v>
      </c>
      <c r="B1206" s="412">
        <f>VLOOKUP(B1195,'BANG LUONG 1'!$B$4:$AJ$55,14,0)</f>
        <v>0</v>
      </c>
      <c r="C1206" s="421">
        <v>12</v>
      </c>
      <c r="D1206" s="41">
        <f>B1203/26*B1206</f>
        <v>0</v>
      </c>
    </row>
    <row r="1207" spans="1:5">
      <c r="A1207" s="421" t="s">
        <v>357</v>
      </c>
      <c r="B1207" s="412">
        <f>VLOOKUP(B1195,'BANG LUONG 1'!$B$4:$AJ$55,15,0)</f>
        <v>0</v>
      </c>
      <c r="C1207" s="421">
        <v>13</v>
      </c>
      <c r="D1207" s="41">
        <f>B1203/26/8*1.5*B1207</f>
        <v>0</v>
      </c>
    </row>
    <row r="1208" spans="1:5">
      <c r="A1208" s="421" t="s">
        <v>387</v>
      </c>
      <c r="B1208" s="412">
        <f>VLOOKUP(B1195,'BANG LUONG 1'!$B$4:$AJ$55,16,0)</f>
        <v>0</v>
      </c>
      <c r="C1208" s="421">
        <v>14</v>
      </c>
      <c r="D1208" s="41">
        <f>B1203/26/8*2*B1208</f>
        <v>0</v>
      </c>
    </row>
    <row r="1209" spans="1:5">
      <c r="A1209" s="421" t="s">
        <v>593</v>
      </c>
      <c r="B1209" s="412">
        <f>VLOOKUP(B1195,'BANG LUONG 1'!$B$4:$AJ$55,17,0)</f>
        <v>0</v>
      </c>
      <c r="C1209" s="421"/>
      <c r="D1209" s="41">
        <f>(B1203/26)*B1209</f>
        <v>0</v>
      </c>
    </row>
    <row r="1210" spans="1:5">
      <c r="A1210" s="421" t="s">
        <v>388</v>
      </c>
      <c r="B1210" s="412">
        <f>VLOOKUP(B1195,'BANG LUONG 1'!$B$4:$AJ$55,18,0)</f>
        <v>0</v>
      </c>
      <c r="C1210" s="421">
        <v>15</v>
      </c>
      <c r="D1210" s="41">
        <f>(B1203/26*B1210)*3</f>
        <v>0</v>
      </c>
    </row>
    <row r="1211" spans="1:5">
      <c r="A1211" s="421" t="s">
        <v>533</v>
      </c>
      <c r="B1211" s="412">
        <f>VLOOKUP(B1195,'BANG LUONG 1'!$B$4:$AJ$55,19,0)</f>
        <v>10384615.384615384</v>
      </c>
      <c r="C1211" s="183">
        <v>16</v>
      </c>
      <c r="D1211" s="185">
        <f>B1205+D1207+D1208+D1206+D1210+D1209</f>
        <v>5083528.846153846</v>
      </c>
      <c r="E1211" s="108"/>
    </row>
    <row r="1212" spans="1:5">
      <c r="A1212" s="421" t="s">
        <v>535</v>
      </c>
      <c r="B1212" s="412">
        <f>VLOOKUP(B1195,'BANG LUONG 1'!$B$4:$AJ$55,20,0)</f>
        <v>0</v>
      </c>
      <c r="C1212" s="421">
        <v>17</v>
      </c>
      <c r="D1212" s="41"/>
    </row>
    <row r="1213" spans="1:5">
      <c r="A1213" s="421" t="s">
        <v>370</v>
      </c>
      <c r="B1213" s="412">
        <f>VLOOKUP(B1195,'BANG LUONG 1'!$B$4:$AJ$55,22,0)</f>
        <v>636382.49999999988</v>
      </c>
      <c r="C1213" s="421">
        <v>18</v>
      </c>
      <c r="D1213" s="41"/>
    </row>
    <row r="1214" spans="1:5">
      <c r="A1214" s="421" t="s">
        <v>371</v>
      </c>
      <c r="B1214" s="412">
        <f>VLOOKUP(B1195,'BANG LUONG 1'!$B$4:$AJ$55,23,0)</f>
        <v>300000</v>
      </c>
      <c r="C1214" s="421">
        <v>19</v>
      </c>
      <c r="D1214" s="41"/>
    </row>
    <row r="1215" spans="1:5">
      <c r="A1215" s="421" t="s">
        <v>560</v>
      </c>
      <c r="B1215" s="412">
        <f>VLOOKUP(B1195,'BANG LUONG 1'!$B$4:$AJ$55,24,0)</f>
        <v>5104750</v>
      </c>
      <c r="C1215" s="421">
        <v>22</v>
      </c>
      <c r="D1215" s="41"/>
    </row>
    <row r="1216" spans="1:5">
      <c r="A1216" s="183" t="s">
        <v>237</v>
      </c>
      <c r="B1216" s="415">
        <f>VLOOKUP(B1195,'BANG LUONG 1'!$B$4:$AJ$55,26,0)</f>
        <v>11320997.884615384</v>
      </c>
      <c r="C1216" s="421">
        <v>24</v>
      </c>
      <c r="D1216" s="41"/>
    </row>
    <row r="1217" spans="1:5">
      <c r="A1217" s="421" t="s">
        <v>545</v>
      </c>
      <c r="B1217" s="412">
        <f>VLOOKUP(B1195,'BANG LUONG 1'!$B$4:$AJ$55,27,0)</f>
        <v>4000000</v>
      </c>
      <c r="C1217" s="421">
        <v>25</v>
      </c>
      <c r="D1217" s="41"/>
    </row>
    <row r="1218" spans="1:5">
      <c r="A1218" s="421" t="s">
        <v>544</v>
      </c>
      <c r="B1218" s="412">
        <f>VLOOKUP(B1195,'BANG LUONG 1'!$B$4:$AJ$55,28,0)</f>
        <v>535500</v>
      </c>
      <c r="C1218" s="421">
        <v>26</v>
      </c>
      <c r="D1218" s="41"/>
    </row>
    <row r="1219" spans="1:5">
      <c r="A1219" s="421" t="s">
        <v>713</v>
      </c>
      <c r="B1219" s="415">
        <f>VLOOKUP(B1195,'BANG LUONG 1'!$B$4:$AJ$55,32,0)</f>
        <v>0</v>
      </c>
      <c r="C1219" s="421"/>
      <c r="D1219" s="41"/>
    </row>
    <row r="1220" spans="1:5">
      <c r="A1220" s="421" t="s">
        <v>714</v>
      </c>
      <c r="B1220" s="415">
        <f>VLOOKUP(B1195,'BANG LUONG 1'!$B$4:$AJ$55,33,0)</f>
        <v>0</v>
      </c>
      <c r="C1220" s="421"/>
      <c r="D1220" s="41"/>
    </row>
    <row r="1221" spans="1:5">
      <c r="A1221" s="183" t="s">
        <v>707</v>
      </c>
      <c r="B1221" s="415">
        <f>VLOOKUP(B1195,'BANG LUONG 1'!$B$4:$AJ$55,30,0)</f>
        <v>0</v>
      </c>
      <c r="C1221" s="421"/>
      <c r="D1221" s="41"/>
      <c r="E1221" s="108" t="str">
        <f>B1196</f>
        <v>Nguyễn Trọng Minh</v>
      </c>
    </row>
    <row r="1222" spans="1:5">
      <c r="A1222" s="183" t="s">
        <v>546</v>
      </c>
      <c r="B1222" s="415">
        <f>VLOOKUP(B1195,'BANG LUONG 1'!$B$4:$AJ$55,35,0)</f>
        <v>6785000</v>
      </c>
      <c r="C1222" s="421"/>
      <c r="D1222" s="41"/>
    </row>
    <row r="1223" spans="1:5">
      <c r="A1223" s="184" t="s">
        <v>549</v>
      </c>
      <c r="B1223" s="424">
        <f>'BANG LUONG 1'!$P$2</f>
        <v>43702</v>
      </c>
    </row>
    <row r="1224" spans="1:5">
      <c r="A1224" s="183" t="s">
        <v>1</v>
      </c>
      <c r="B1224" s="185" t="s">
        <v>118</v>
      </c>
      <c r="C1224" s="421">
        <v>1</v>
      </c>
      <c r="D1224" s="41"/>
    </row>
    <row r="1225" spans="1:5">
      <c r="A1225" s="183" t="s">
        <v>2</v>
      </c>
      <c r="B1225" s="185" t="str">
        <f>VLOOKUP($B1224,'BANG LUONG 1'!$B$5:$AB$50,C1225,0)</f>
        <v>Nguyễn Trọng Minh</v>
      </c>
      <c r="C1225" s="421">
        <v>2</v>
      </c>
      <c r="D1225" s="41"/>
    </row>
    <row r="1226" spans="1:5">
      <c r="A1226" s="421" t="s">
        <v>3</v>
      </c>
      <c r="B1226" s="41" t="str">
        <f>VLOOKUP($B1224,'BANG LUONG 1'!$B$5:$AJ$50,C1226,0)</f>
        <v>Đội trưởng XLB</v>
      </c>
      <c r="C1226" s="421">
        <v>3</v>
      </c>
      <c r="D1226" s="41"/>
    </row>
    <row r="1227" spans="1:5">
      <c r="A1227" s="421" t="s">
        <v>376</v>
      </c>
      <c r="B1227" s="410">
        <f>VLOOKUP($B1224,'BANG LUONG 1'!$B$4:$AJ$55,4,0)</f>
        <v>38838</v>
      </c>
      <c r="C1227" s="421">
        <v>4</v>
      </c>
      <c r="D1227" s="41"/>
    </row>
    <row r="1228" spans="1:5">
      <c r="A1228" s="421" t="s">
        <v>698</v>
      </c>
      <c r="B1228" s="411">
        <f>VLOOKUP(B1224,'BANG LUONG 1'!$B$4:$AJ$55,6,0)</f>
        <v>0.12999999999999998</v>
      </c>
      <c r="C1228" s="421">
        <v>5</v>
      </c>
      <c r="D1228" s="41"/>
    </row>
    <row r="1229" spans="1:5">
      <c r="A1229" s="421" t="s">
        <v>229</v>
      </c>
      <c r="B1229" s="412">
        <f>'thang luong moi'!$F$5</f>
        <v>4012500</v>
      </c>
      <c r="C1229" s="421">
        <v>6</v>
      </c>
      <c r="D1229" s="41"/>
    </row>
    <row r="1230" spans="1:5">
      <c r="A1230" s="421" t="s">
        <v>217</v>
      </c>
      <c r="B1230" s="412" t="str">
        <f>VLOOKUP(B1224,'BANG LUONG 1'!$B$4:$AJ$55,8,0)</f>
        <v>B.01</v>
      </c>
      <c r="C1230" s="421">
        <v>7</v>
      </c>
      <c r="D1230" s="41"/>
    </row>
    <row r="1231" spans="1:5">
      <c r="A1231" s="421" t="s">
        <v>230</v>
      </c>
      <c r="B1231" s="412">
        <f>VLOOKUP(B1224,'BANG LUONG 1'!$B$4:$AJ$55,9,0)</f>
        <v>2</v>
      </c>
      <c r="C1231" s="421">
        <v>8</v>
      </c>
      <c r="D1231" s="41"/>
    </row>
    <row r="1232" spans="1:5">
      <c r="A1232" s="421" t="s">
        <v>538</v>
      </c>
      <c r="B1232" s="412">
        <f>VLOOKUP(B1224,'BANG LUONG 1'!$B$4:$AJ$55,11,0)</f>
        <v>4895250</v>
      </c>
      <c r="C1232" s="421">
        <v>9</v>
      </c>
      <c r="D1232" s="41"/>
    </row>
    <row r="1233" spans="1:5">
      <c r="A1233" s="421" t="s">
        <v>354</v>
      </c>
      <c r="B1233" s="412">
        <f>VLOOKUP(B1224,'BANG LUONG 1'!$B$4:$AJ$55,12,0)</f>
        <v>27</v>
      </c>
      <c r="C1233" s="421">
        <v>10</v>
      </c>
      <c r="D1233" s="41"/>
    </row>
    <row r="1234" spans="1:5">
      <c r="A1234" s="421" t="s">
        <v>534</v>
      </c>
      <c r="B1234" s="412">
        <f>VLOOKUP(B1224,'BANG LUONG 1'!$B$4:$AJ$55,13,0)</f>
        <v>5083528.846153846</v>
      </c>
      <c r="C1234" s="421">
        <v>11</v>
      </c>
      <c r="D1234" s="41"/>
    </row>
    <row r="1235" spans="1:5">
      <c r="A1235" s="421" t="s">
        <v>592</v>
      </c>
      <c r="B1235" s="412">
        <f>VLOOKUP(B1224,'BANG LUONG 1'!$B$4:$AJ$55,14,0)</f>
        <v>0</v>
      </c>
      <c r="C1235" s="421">
        <v>12</v>
      </c>
      <c r="D1235" s="41">
        <f>B1232/26*B1235</f>
        <v>0</v>
      </c>
    </row>
    <row r="1236" spans="1:5">
      <c r="A1236" s="421" t="s">
        <v>357</v>
      </c>
      <c r="B1236" s="412">
        <f>VLOOKUP(B1224,'BANG LUONG 1'!$B$4:$AJ$55,15,0)</f>
        <v>0</v>
      </c>
      <c r="C1236" s="421">
        <v>13</v>
      </c>
      <c r="D1236" s="41">
        <f>B1232/26/8*1.5*B1236</f>
        <v>0</v>
      </c>
    </row>
    <row r="1237" spans="1:5">
      <c r="A1237" s="421" t="s">
        <v>387</v>
      </c>
      <c r="B1237" s="412">
        <f>VLOOKUP(B1224,'BANG LUONG 1'!$B$4:$AJ$55,16,0)</f>
        <v>0</v>
      </c>
      <c r="C1237" s="421">
        <v>14</v>
      </c>
      <c r="D1237" s="41">
        <f>B1232/26/8*2*B1237</f>
        <v>0</v>
      </c>
    </row>
    <row r="1238" spans="1:5">
      <c r="A1238" s="421" t="s">
        <v>593</v>
      </c>
      <c r="B1238" s="412">
        <f>VLOOKUP(B1224,'BANG LUONG 1'!$B$4:$AJ$55,17,0)</f>
        <v>0</v>
      </c>
      <c r="C1238" s="421"/>
      <c r="D1238" s="41">
        <f>(B1232/26)*B1238</f>
        <v>0</v>
      </c>
    </row>
    <row r="1239" spans="1:5">
      <c r="A1239" s="421" t="s">
        <v>388</v>
      </c>
      <c r="B1239" s="412">
        <f>VLOOKUP(B1224,'BANG LUONG 1'!$B$4:$AJ$55,18,0)</f>
        <v>0</v>
      </c>
      <c r="C1239" s="421">
        <v>15</v>
      </c>
      <c r="D1239" s="41">
        <f>(B1232/26*B1239)*3</f>
        <v>0</v>
      </c>
    </row>
    <row r="1240" spans="1:5">
      <c r="A1240" s="421" t="s">
        <v>533</v>
      </c>
      <c r="B1240" s="412">
        <f>VLOOKUP(B1224,'BANG LUONG 1'!$B$4:$AJ$55,19,0)</f>
        <v>10384615.384615384</v>
      </c>
      <c r="C1240" s="183">
        <v>16</v>
      </c>
      <c r="D1240" s="185">
        <f>B1234+D1236+D1237+D1235+D1239+D1238</f>
        <v>5083528.846153846</v>
      </c>
      <c r="E1240" s="108"/>
    </row>
    <row r="1241" spans="1:5">
      <c r="A1241" s="421" t="s">
        <v>535</v>
      </c>
      <c r="B1241" s="412">
        <f>VLOOKUP(B1224,'BANG LUONG 1'!$B$4:$AJ$55,20,0)</f>
        <v>0</v>
      </c>
      <c r="C1241" s="421">
        <v>17</v>
      </c>
      <c r="D1241" s="41"/>
    </row>
    <row r="1242" spans="1:5">
      <c r="A1242" s="421" t="s">
        <v>370</v>
      </c>
      <c r="B1242" s="412">
        <f>VLOOKUP(B1224,'BANG LUONG 1'!$B$4:$AJ$55,22,0)</f>
        <v>636382.49999999988</v>
      </c>
      <c r="C1242" s="421">
        <v>18</v>
      </c>
      <c r="D1242" s="41"/>
    </row>
    <row r="1243" spans="1:5">
      <c r="A1243" s="421" t="s">
        <v>371</v>
      </c>
      <c r="B1243" s="412">
        <f>VLOOKUP(B1224,'BANG LUONG 1'!$B$4:$AJ$55,23,0)</f>
        <v>300000</v>
      </c>
      <c r="C1243" s="421">
        <v>19</v>
      </c>
      <c r="D1243" s="41"/>
    </row>
    <row r="1244" spans="1:5">
      <c r="A1244" s="421" t="s">
        <v>560</v>
      </c>
      <c r="B1244" s="412">
        <f>VLOOKUP(B1224,'BANG LUONG 1'!$B$4:$AJ$55,24,0)</f>
        <v>5104750</v>
      </c>
      <c r="C1244" s="421">
        <v>22</v>
      </c>
      <c r="D1244" s="41"/>
    </row>
    <row r="1245" spans="1:5">
      <c r="A1245" s="183" t="s">
        <v>237</v>
      </c>
      <c r="B1245" s="415">
        <f>VLOOKUP(B1224,'BANG LUONG 1'!$B$4:$AJ$55,26,0)</f>
        <v>11320997.884615384</v>
      </c>
      <c r="C1245" s="421">
        <v>24</v>
      </c>
      <c r="D1245" s="41"/>
    </row>
    <row r="1246" spans="1:5">
      <c r="A1246" s="421" t="s">
        <v>545</v>
      </c>
      <c r="B1246" s="412">
        <f>VLOOKUP(B1224,'BANG LUONG 1'!$B$4:$AJ$55,27,0)</f>
        <v>4000000</v>
      </c>
      <c r="C1246" s="421">
        <v>25</v>
      </c>
      <c r="D1246" s="41"/>
    </row>
    <row r="1247" spans="1:5">
      <c r="A1247" s="421" t="s">
        <v>544</v>
      </c>
      <c r="B1247" s="412">
        <f>VLOOKUP(B1224,'BANG LUONG 1'!$B$4:$AJ$55,28,0)</f>
        <v>535500</v>
      </c>
      <c r="C1247" s="421">
        <v>26</v>
      </c>
      <c r="D1247" s="41"/>
    </row>
    <row r="1248" spans="1:5">
      <c r="A1248" s="421" t="s">
        <v>713</v>
      </c>
      <c r="B1248" s="415">
        <f>VLOOKUP(B1224,'BANG LUONG 1'!$B$4:$AJ$55,32,0)</f>
        <v>0</v>
      </c>
      <c r="C1248" s="421"/>
      <c r="D1248" s="41"/>
    </row>
    <row r="1249" spans="1:5">
      <c r="A1249" s="421" t="s">
        <v>714</v>
      </c>
      <c r="B1249" s="415">
        <f>VLOOKUP(B1224,'BANG LUONG 1'!$B$4:$AJ$55,33,0)</f>
        <v>0</v>
      </c>
      <c r="C1249" s="421"/>
      <c r="D1249" s="41"/>
    </row>
    <row r="1250" spans="1:5">
      <c r="A1250" s="183" t="s">
        <v>707</v>
      </c>
      <c r="B1250" s="415">
        <f>VLOOKUP(B1224,'BANG LUONG 1'!$B$4:$AJ$55,30,0)</f>
        <v>0</v>
      </c>
      <c r="C1250" s="421"/>
      <c r="D1250" s="41"/>
      <c r="E1250" s="108" t="str">
        <f>B1225</f>
        <v>Nguyễn Trọng Minh</v>
      </c>
    </row>
    <row r="1251" spans="1:5">
      <c r="A1251" s="183" t="s">
        <v>546</v>
      </c>
      <c r="B1251" s="415">
        <f>VLOOKUP(B1224,'BANG LUONG 1'!$B$4:$AJ$55,35,0)</f>
        <v>6785000</v>
      </c>
      <c r="C1251" s="421"/>
      <c r="D1251" s="41"/>
    </row>
    <row r="1252" spans="1:5">
      <c r="A1252" s="183"/>
      <c r="B1252" s="412"/>
      <c r="C1252" s="421">
        <v>27</v>
      </c>
      <c r="D1252" s="185"/>
    </row>
    <row r="1253" spans="1:5">
      <c r="A1253" s="184" t="s">
        <v>549</v>
      </c>
      <c r="B1253" s="424">
        <f>'BANG LUONG 1'!$P$2</f>
        <v>43702</v>
      </c>
    </row>
    <row r="1254" spans="1:5">
      <c r="A1254" s="183" t="s">
        <v>1</v>
      </c>
      <c r="B1254" s="185" t="s">
        <v>140</v>
      </c>
      <c r="C1254" s="421">
        <v>1</v>
      </c>
      <c r="D1254" s="41"/>
    </row>
    <row r="1255" spans="1:5">
      <c r="A1255" s="183" t="s">
        <v>2</v>
      </c>
      <c r="B1255" s="185" t="str">
        <f>VLOOKUP($B1254,'BANG LUONG 1'!$B$5:$AB$47,C1255,0)</f>
        <v>Quách Văn Chánh</v>
      </c>
      <c r="C1255" s="421">
        <v>2</v>
      </c>
      <c r="D1255" s="41"/>
    </row>
    <row r="1256" spans="1:5">
      <c r="A1256" s="421" t="s">
        <v>3</v>
      </c>
      <c r="B1256" s="41" t="str">
        <f>VLOOKUP($B1254,'BANG LUONG 1'!$B$5:$AJ$47,C1256,0)</f>
        <v xml:space="preserve">Công nhân </v>
      </c>
      <c r="C1256" s="421">
        <v>3</v>
      </c>
      <c r="D1256" s="41"/>
    </row>
    <row r="1257" spans="1:5">
      <c r="A1257" s="421" t="s">
        <v>376</v>
      </c>
      <c r="B1257" s="410">
        <f>VLOOKUP($B1254,'BANG LUONG 1'!$B$4:$AJ$55,4,0)</f>
        <v>42078</v>
      </c>
      <c r="C1257" s="421">
        <v>4</v>
      </c>
      <c r="D1257" s="41"/>
    </row>
    <row r="1258" spans="1:5">
      <c r="A1258" s="421" t="s">
        <v>698</v>
      </c>
      <c r="B1258" s="411">
        <f>VLOOKUP(B1254,'BANG LUONG 1'!$B$4:$AJ$55,6,0)</f>
        <v>0.04</v>
      </c>
      <c r="C1258" s="421">
        <v>5</v>
      </c>
      <c r="D1258" s="41"/>
    </row>
    <row r="1259" spans="1:5">
      <c r="A1259" s="421" t="s">
        <v>229</v>
      </c>
      <c r="B1259" s="412">
        <f>'thang luong moi'!$F$5</f>
        <v>4012500</v>
      </c>
      <c r="C1259" s="421">
        <v>6</v>
      </c>
      <c r="D1259" s="41"/>
    </row>
    <row r="1260" spans="1:5">
      <c r="A1260" s="421" t="s">
        <v>217</v>
      </c>
      <c r="B1260" s="412" t="str">
        <f>VLOOKUP(B1254,'BANG LUONG 1'!$B$4:$AJ$55,8,0)</f>
        <v>B.02</v>
      </c>
      <c r="C1260" s="421">
        <v>7</v>
      </c>
      <c r="D1260" s="41"/>
    </row>
    <row r="1261" spans="1:5">
      <c r="A1261" s="421" t="s">
        <v>230</v>
      </c>
      <c r="B1261" s="412">
        <f>VLOOKUP(B1254,'BANG LUONG 1'!$B$4:$AJ$55,9,0)</f>
        <v>1</v>
      </c>
      <c r="C1261" s="421">
        <v>8</v>
      </c>
      <c r="D1261" s="41"/>
    </row>
    <row r="1262" spans="1:5">
      <c r="A1262" s="421" t="s">
        <v>538</v>
      </c>
      <c r="B1262" s="412">
        <f>VLOOKUP(B1254,'BANG LUONG 1'!$B$4:$AJ$55,11,0)</f>
        <v>4413750</v>
      </c>
      <c r="C1262" s="421">
        <v>9</v>
      </c>
      <c r="D1262" s="41"/>
    </row>
    <row r="1263" spans="1:5">
      <c r="A1263" s="421" t="s">
        <v>354</v>
      </c>
      <c r="B1263" s="412">
        <f>VLOOKUP(B1254,'BANG LUONG 1'!$B$4:$AJ$55,12,0)</f>
        <v>27</v>
      </c>
      <c r="C1263" s="421">
        <v>10</v>
      </c>
      <c r="D1263" s="41"/>
    </row>
    <row r="1264" spans="1:5">
      <c r="A1264" s="421" t="s">
        <v>534</v>
      </c>
      <c r="B1264" s="412">
        <f>VLOOKUP(B1254,'BANG LUONG 1'!$B$4:$AJ$55,13,0)</f>
        <v>4583509.615384615</v>
      </c>
      <c r="C1264" s="421">
        <v>11</v>
      </c>
      <c r="D1264" s="41"/>
    </row>
    <row r="1265" spans="1:5">
      <c r="A1265" s="421" t="s">
        <v>592</v>
      </c>
      <c r="B1265" s="412">
        <f>VLOOKUP(B1254,'BANG LUONG 1'!$B$4:$AJ$55,14,0)</f>
        <v>0</v>
      </c>
      <c r="C1265" s="421">
        <v>12</v>
      </c>
      <c r="D1265" s="41">
        <f>B1262/26*B1265</f>
        <v>0</v>
      </c>
    </row>
    <row r="1266" spans="1:5">
      <c r="A1266" s="421" t="s">
        <v>357</v>
      </c>
      <c r="B1266" s="412">
        <f>VLOOKUP(B1254,'BANG LUONG 1'!$B$4:$AJ$55,15,0)</f>
        <v>0</v>
      </c>
      <c r="C1266" s="421">
        <v>13</v>
      </c>
      <c r="D1266" s="41">
        <f>B1262/26/8*1.5*B1266</f>
        <v>0</v>
      </c>
    </row>
    <row r="1267" spans="1:5">
      <c r="A1267" s="421" t="s">
        <v>387</v>
      </c>
      <c r="B1267" s="412">
        <f>VLOOKUP(B1254,'BANG LUONG 1'!$B$4:$AJ$55,16,0)</f>
        <v>0</v>
      </c>
      <c r="C1267" s="421">
        <v>14</v>
      </c>
      <c r="D1267" s="41">
        <f>B1262/26/8*2*B1267</f>
        <v>0</v>
      </c>
    </row>
    <row r="1268" spans="1:5">
      <c r="A1268" s="421" t="s">
        <v>593</v>
      </c>
      <c r="B1268" s="412">
        <f>VLOOKUP(B1254,'BANG LUONG 1'!$B$4:$AJ$55,17,0)</f>
        <v>0</v>
      </c>
      <c r="C1268" s="421"/>
      <c r="D1268" s="41">
        <f>(B1262/26)*B1268</f>
        <v>0</v>
      </c>
    </row>
    <row r="1269" spans="1:5">
      <c r="A1269" s="421" t="s">
        <v>388</v>
      </c>
      <c r="B1269" s="412">
        <f>VLOOKUP(B1254,'BANG LUONG 1'!$B$4:$AJ$55,18,0)</f>
        <v>0</v>
      </c>
      <c r="C1269" s="421">
        <v>15</v>
      </c>
      <c r="D1269" s="41">
        <f>(B1262/26*B1269)*3</f>
        <v>0</v>
      </c>
    </row>
    <row r="1270" spans="1:5">
      <c r="A1270" s="421" t="s">
        <v>533</v>
      </c>
      <c r="B1270" s="412">
        <f>VLOOKUP(B1254,'BANG LUONG 1'!$B$4:$AJ$55,19,0)</f>
        <v>4583509.615384615</v>
      </c>
      <c r="C1270" s="183">
        <v>16</v>
      </c>
      <c r="D1270" s="185">
        <f>B1264+D1266+D1267+D1265+D1269+D1268</f>
        <v>4583509.615384615</v>
      </c>
      <c r="E1270" s="108"/>
    </row>
    <row r="1271" spans="1:5">
      <c r="A1271" s="421" t="s">
        <v>535</v>
      </c>
      <c r="B1271" s="412">
        <f>VLOOKUP(B1254,'BANG LUONG 1'!$B$4:$AJ$55,20,0)</f>
        <v>-4583509.615384615</v>
      </c>
      <c r="C1271" s="421">
        <v>17</v>
      </c>
      <c r="D1271" s="41"/>
    </row>
    <row r="1272" spans="1:5">
      <c r="A1272" s="421" t="s">
        <v>370</v>
      </c>
      <c r="B1272" s="412">
        <f>VLOOKUP(B1254,'BANG LUONG 1'!$B$4:$AJ$55,22,0)</f>
        <v>176550</v>
      </c>
      <c r="C1272" s="421">
        <v>18</v>
      </c>
      <c r="D1272" s="41"/>
    </row>
    <row r="1273" spans="1:5">
      <c r="A1273" s="421" t="s">
        <v>371</v>
      </c>
      <c r="B1273" s="412">
        <f>VLOOKUP(B1254,'BANG LUONG 1'!$B$4:$AJ$55,23,0)</f>
        <v>300000</v>
      </c>
      <c r="C1273" s="421">
        <v>19</v>
      </c>
      <c r="D1273" s="41"/>
    </row>
    <row r="1274" spans="1:5">
      <c r="A1274" s="421" t="s">
        <v>560</v>
      </c>
      <c r="B1274" s="412">
        <f>VLOOKUP(B1254,'BANG LUONG 1'!$B$4:$AJ$55,24,0)</f>
        <v>0</v>
      </c>
      <c r="C1274" s="421">
        <v>22</v>
      </c>
      <c r="D1274" s="41"/>
    </row>
    <row r="1275" spans="1:5">
      <c r="A1275" s="183" t="s">
        <v>237</v>
      </c>
      <c r="B1275" s="415">
        <f>VLOOKUP(B1254,'BANG LUONG 1'!$B$4:$AJ$55,26,0)</f>
        <v>476550</v>
      </c>
      <c r="C1275" s="421">
        <v>24</v>
      </c>
      <c r="D1275" s="41"/>
    </row>
    <row r="1276" spans="1:5">
      <c r="A1276" s="421" t="s">
        <v>545</v>
      </c>
      <c r="B1276" s="412">
        <f>VLOOKUP(B1254,'BANG LUONG 1'!$B$4:$AJ$55,27,0)</f>
        <v>3000000</v>
      </c>
      <c r="C1276" s="421">
        <v>25</v>
      </c>
      <c r="D1276" s="41"/>
    </row>
    <row r="1277" spans="1:5">
      <c r="A1277" s="421" t="s">
        <v>544</v>
      </c>
      <c r="B1277" s="412">
        <f>VLOOKUP(B1254,'BANG LUONG 1'!$B$4:$AJ$55,28,0)</f>
        <v>480585</v>
      </c>
      <c r="C1277" s="421">
        <v>26</v>
      </c>
      <c r="D1277" s="41"/>
    </row>
    <row r="1278" spans="1:5">
      <c r="A1278" s="421" t="s">
        <v>713</v>
      </c>
      <c r="B1278" s="415">
        <f>VLOOKUP(B1254,'BANG LUONG 1'!$B$4:$AJ$55,32,0)</f>
        <v>0</v>
      </c>
      <c r="C1278" s="421"/>
      <c r="D1278" s="41"/>
    </row>
    <row r="1279" spans="1:5">
      <c r="A1279" s="421" t="s">
        <v>714</v>
      </c>
      <c r="B1279" s="415">
        <f>VLOOKUP(B1254,'BANG LUONG 1'!$B$4:$AJ$55,33,0)</f>
        <v>0</v>
      </c>
      <c r="C1279" s="421"/>
      <c r="D1279" s="41"/>
    </row>
    <row r="1280" spans="1:5">
      <c r="A1280" s="183" t="s">
        <v>707</v>
      </c>
      <c r="B1280" s="415">
        <f>VLOOKUP(B1254,'BANG LUONG 1'!$B$4:$AJ$55,34,0)</f>
        <v>0</v>
      </c>
      <c r="C1280" s="421"/>
      <c r="D1280" s="41"/>
      <c r="E1280" s="108" t="str">
        <f>B1255</f>
        <v>Quách Văn Chánh</v>
      </c>
    </row>
    <row r="1281" spans="1:4">
      <c r="A1281" s="183" t="s">
        <v>546</v>
      </c>
      <c r="B1281" s="415">
        <f>VLOOKUP(B1254,'BANG LUONG 1'!$B$4:$AJ$55,35,0)</f>
        <v>-3004000</v>
      </c>
      <c r="C1281" s="421"/>
      <c r="D1281" s="41"/>
    </row>
    <row r="1282" spans="1:4">
      <c r="A1282" s="183"/>
      <c r="B1282" s="412"/>
      <c r="C1282" s="421">
        <v>27</v>
      </c>
      <c r="D1282" s="185"/>
    </row>
    <row r="1283" spans="1:4">
      <c r="A1283" s="184" t="s">
        <v>549</v>
      </c>
      <c r="B1283" s="424">
        <f>'BANG LUONG 1'!$P$2</f>
        <v>43702</v>
      </c>
    </row>
    <row r="1284" spans="1:4">
      <c r="A1284" s="183" t="s">
        <v>1</v>
      </c>
      <c r="B1284" s="185" t="s">
        <v>140</v>
      </c>
      <c r="C1284" s="421">
        <v>1</v>
      </c>
      <c r="D1284" s="41"/>
    </row>
    <row r="1285" spans="1:4">
      <c r="A1285" s="183" t="s">
        <v>2</v>
      </c>
      <c r="B1285" s="185" t="str">
        <f>VLOOKUP($B1284,'BANG LUONG 1'!$B$5:$AB$47,C1285,0)</f>
        <v>Quách Văn Chánh</v>
      </c>
      <c r="C1285" s="421">
        <v>2</v>
      </c>
      <c r="D1285" s="41"/>
    </row>
    <row r="1286" spans="1:4">
      <c r="A1286" s="421" t="s">
        <v>3</v>
      </c>
      <c r="B1286" s="41" t="str">
        <f>VLOOKUP($B1284,'BANG LUONG 1'!$B$5:$AJ$47,C1286,0)</f>
        <v xml:space="preserve">Công nhân </v>
      </c>
      <c r="C1286" s="421">
        <v>3</v>
      </c>
      <c r="D1286" s="41"/>
    </row>
    <row r="1287" spans="1:4">
      <c r="A1287" s="421" t="s">
        <v>376</v>
      </c>
      <c r="B1287" s="410">
        <f>VLOOKUP($B1284,'BANG LUONG 1'!$B$4:$AJ$55,4,0)</f>
        <v>42078</v>
      </c>
      <c r="C1287" s="421">
        <v>4</v>
      </c>
      <c r="D1287" s="41"/>
    </row>
    <row r="1288" spans="1:4">
      <c r="A1288" s="421" t="s">
        <v>698</v>
      </c>
      <c r="B1288" s="411">
        <f>VLOOKUP(B1284,'BANG LUONG 1'!$B$4:$AJ$55,6,0)</f>
        <v>0.04</v>
      </c>
      <c r="C1288" s="421">
        <v>5</v>
      </c>
      <c r="D1288" s="41"/>
    </row>
    <row r="1289" spans="1:4">
      <c r="A1289" s="421" t="s">
        <v>229</v>
      </c>
      <c r="B1289" s="412">
        <f>'thang luong moi'!$F$5</f>
        <v>4012500</v>
      </c>
      <c r="C1289" s="421">
        <v>6</v>
      </c>
      <c r="D1289" s="41"/>
    </row>
    <row r="1290" spans="1:4">
      <c r="A1290" s="421" t="s">
        <v>217</v>
      </c>
      <c r="B1290" s="412" t="str">
        <f>VLOOKUP(B1284,'BANG LUONG 1'!$B$4:$AJ$55,8,0)</f>
        <v>B.02</v>
      </c>
      <c r="C1290" s="421">
        <v>7</v>
      </c>
      <c r="D1290" s="41"/>
    </row>
    <row r="1291" spans="1:4">
      <c r="A1291" s="421" t="s">
        <v>230</v>
      </c>
      <c r="B1291" s="412">
        <f>VLOOKUP(B1284,'BANG LUONG 1'!$B$4:$AJ$55,9,0)</f>
        <v>1</v>
      </c>
      <c r="C1291" s="421">
        <v>8</v>
      </c>
      <c r="D1291" s="41"/>
    </row>
    <row r="1292" spans="1:4">
      <c r="A1292" s="421" t="s">
        <v>538</v>
      </c>
      <c r="B1292" s="412">
        <f>VLOOKUP(B1284,'BANG LUONG 1'!$B$4:$AJ$55,11,0)</f>
        <v>4413750</v>
      </c>
      <c r="C1292" s="421">
        <v>9</v>
      </c>
      <c r="D1292" s="41"/>
    </row>
    <row r="1293" spans="1:4">
      <c r="A1293" s="421" t="s">
        <v>354</v>
      </c>
      <c r="B1293" s="412">
        <f>VLOOKUP(B1284,'BANG LUONG 1'!$B$4:$AJ$55,12,0)</f>
        <v>27</v>
      </c>
      <c r="C1293" s="421">
        <v>10</v>
      </c>
      <c r="D1293" s="41"/>
    </row>
    <row r="1294" spans="1:4">
      <c r="A1294" s="421" t="s">
        <v>534</v>
      </c>
      <c r="B1294" s="412">
        <f>VLOOKUP(B1284,'BANG LUONG 1'!$B$4:$AJ$55,13,0)</f>
        <v>4583509.615384615</v>
      </c>
      <c r="C1294" s="421">
        <v>11</v>
      </c>
      <c r="D1294" s="41"/>
    </row>
    <row r="1295" spans="1:4">
      <c r="A1295" s="421" t="s">
        <v>592</v>
      </c>
      <c r="B1295" s="412">
        <f>VLOOKUP(B1284,'BANG LUONG 1'!$B$4:$AJ$55,14,0)</f>
        <v>0</v>
      </c>
      <c r="C1295" s="421">
        <v>12</v>
      </c>
      <c r="D1295" s="41">
        <f>B1292/26*B1295</f>
        <v>0</v>
      </c>
    </row>
    <row r="1296" spans="1:4">
      <c r="A1296" s="421" t="s">
        <v>357</v>
      </c>
      <c r="B1296" s="412">
        <f>VLOOKUP(B1284,'BANG LUONG 1'!$B$4:$AJ$55,15,0)</f>
        <v>0</v>
      </c>
      <c r="C1296" s="421">
        <v>13</v>
      </c>
      <c r="D1296" s="41">
        <f>B1292/26/8*1.5*B1296</f>
        <v>0</v>
      </c>
    </row>
    <row r="1297" spans="1:5">
      <c r="A1297" s="421" t="s">
        <v>387</v>
      </c>
      <c r="B1297" s="412">
        <f>VLOOKUP(B1284,'BANG LUONG 1'!$B$4:$AJ$55,16,0)</f>
        <v>0</v>
      </c>
      <c r="C1297" s="421">
        <v>14</v>
      </c>
      <c r="D1297" s="41">
        <f>B1292/26/8*2*B1297</f>
        <v>0</v>
      </c>
    </row>
    <row r="1298" spans="1:5">
      <c r="A1298" s="421" t="s">
        <v>593</v>
      </c>
      <c r="B1298" s="412">
        <f>VLOOKUP(B1284,'BANG LUONG 1'!$B$4:$AJ$55,17,0)</f>
        <v>0</v>
      </c>
      <c r="C1298" s="421"/>
      <c r="D1298" s="41">
        <f>(B1292/26)*B1298</f>
        <v>0</v>
      </c>
    </row>
    <row r="1299" spans="1:5">
      <c r="A1299" s="421" t="s">
        <v>388</v>
      </c>
      <c r="B1299" s="412">
        <f>VLOOKUP(B1284,'BANG LUONG 1'!$B$4:$AJ$55,18,0)</f>
        <v>0</v>
      </c>
      <c r="C1299" s="421">
        <v>15</v>
      </c>
      <c r="D1299" s="41">
        <f>(B1292/26*B1299)*3</f>
        <v>0</v>
      </c>
    </row>
    <row r="1300" spans="1:5">
      <c r="A1300" s="421" t="s">
        <v>533</v>
      </c>
      <c r="B1300" s="412">
        <f>VLOOKUP(B1284,'BANG LUONG 1'!$B$4:$AJ$55,19,0)</f>
        <v>4583509.615384615</v>
      </c>
      <c r="C1300" s="183">
        <v>16</v>
      </c>
      <c r="D1300" s="185">
        <f>B1294+D1296+D1297+D1295+D1299+D1298</f>
        <v>4583509.615384615</v>
      </c>
      <c r="E1300" s="108"/>
    </row>
    <row r="1301" spans="1:5">
      <c r="A1301" s="421" t="s">
        <v>535</v>
      </c>
      <c r="B1301" s="412">
        <f>VLOOKUP(B1284,'BANG LUONG 1'!$B$4:$AJ$55,20,0)</f>
        <v>-4583509.615384615</v>
      </c>
      <c r="C1301" s="421">
        <v>17</v>
      </c>
      <c r="D1301" s="41"/>
    </row>
    <row r="1302" spans="1:5">
      <c r="A1302" s="421" t="s">
        <v>370</v>
      </c>
      <c r="B1302" s="412">
        <f>VLOOKUP(B1284,'BANG LUONG 1'!$B$4:$AJ$55,22,0)</f>
        <v>176550</v>
      </c>
      <c r="C1302" s="421">
        <v>18</v>
      </c>
      <c r="D1302" s="41"/>
    </row>
    <row r="1303" spans="1:5">
      <c r="A1303" s="421" t="s">
        <v>371</v>
      </c>
      <c r="B1303" s="412">
        <f>VLOOKUP(B1284,'BANG LUONG 1'!$B$4:$AJ$55,23,0)</f>
        <v>300000</v>
      </c>
      <c r="C1303" s="421">
        <v>19</v>
      </c>
      <c r="D1303" s="41"/>
    </row>
    <row r="1304" spans="1:5">
      <c r="A1304" s="421" t="s">
        <v>560</v>
      </c>
      <c r="B1304" s="412">
        <f>VLOOKUP(B1284,'BANG LUONG 1'!$B$4:$AJ$55,24,0)</f>
        <v>0</v>
      </c>
      <c r="C1304" s="421">
        <v>22</v>
      </c>
      <c r="D1304" s="41"/>
    </row>
    <row r="1305" spans="1:5">
      <c r="A1305" s="183" t="s">
        <v>237</v>
      </c>
      <c r="B1305" s="415">
        <f>VLOOKUP(B1284,'BANG LUONG 1'!$B$4:$AJ$55,26,0)</f>
        <v>476550</v>
      </c>
      <c r="C1305" s="421">
        <v>24</v>
      </c>
      <c r="D1305" s="41"/>
    </row>
    <row r="1306" spans="1:5">
      <c r="A1306" s="421" t="s">
        <v>545</v>
      </c>
      <c r="B1306" s="412">
        <f>VLOOKUP(B1284,'BANG LUONG 1'!$B$4:$AJ$55,27,0)</f>
        <v>3000000</v>
      </c>
      <c r="C1306" s="421">
        <v>25</v>
      </c>
      <c r="D1306" s="41"/>
    </row>
    <row r="1307" spans="1:5">
      <c r="A1307" s="421" t="s">
        <v>544</v>
      </c>
      <c r="B1307" s="412">
        <f>VLOOKUP(B1284,'BANG LUONG 1'!$B$4:$AJ$55,28,0)</f>
        <v>480585</v>
      </c>
      <c r="C1307" s="421">
        <v>26</v>
      </c>
      <c r="D1307" s="41"/>
    </row>
    <row r="1308" spans="1:5">
      <c r="A1308" s="421" t="s">
        <v>713</v>
      </c>
      <c r="B1308" s="415">
        <f>VLOOKUP(B1284,'BANG LUONG 1'!$B$4:$AJ$55,32,0)</f>
        <v>0</v>
      </c>
      <c r="C1308" s="421"/>
      <c r="D1308" s="41"/>
    </row>
    <row r="1309" spans="1:5">
      <c r="A1309" s="421" t="s">
        <v>714</v>
      </c>
      <c r="B1309" s="415">
        <f>VLOOKUP(B1284,'BANG LUONG 1'!$B$4:$AJ$55,33,0)</f>
        <v>0</v>
      </c>
      <c r="C1309" s="421"/>
      <c r="D1309" s="41"/>
    </row>
    <row r="1310" spans="1:5">
      <c r="A1310" s="183" t="s">
        <v>707</v>
      </c>
      <c r="B1310" s="415">
        <f>VLOOKUP(B1284,'BANG LUONG 1'!$B$4:$AJ$55,34,0)</f>
        <v>0</v>
      </c>
      <c r="C1310" s="421"/>
      <c r="D1310" s="41"/>
      <c r="E1310" s="108" t="str">
        <f>B1285</f>
        <v>Quách Văn Chánh</v>
      </c>
    </row>
    <row r="1311" spans="1:5">
      <c r="A1311" s="183" t="s">
        <v>546</v>
      </c>
      <c r="B1311" s="415">
        <f>VLOOKUP(B1284,'BANG LUONG 1'!$B$4:$AJ$55,35,0)</f>
        <v>-3004000</v>
      </c>
      <c r="C1311" s="421"/>
      <c r="D1311" s="41"/>
    </row>
    <row r="1312" spans="1:5">
      <c r="A1312" s="183"/>
      <c r="B1312" s="412"/>
      <c r="C1312" s="421">
        <v>27</v>
      </c>
      <c r="D1312" s="185"/>
    </row>
    <row r="1313" spans="1:4">
      <c r="A1313" s="184" t="s">
        <v>549</v>
      </c>
      <c r="B1313" s="424">
        <f>'BANG LUONG 1'!$P$2</f>
        <v>43702</v>
      </c>
    </row>
    <row r="1314" spans="1:4">
      <c r="A1314" s="183" t="s">
        <v>1</v>
      </c>
      <c r="B1314" s="185" t="s">
        <v>141</v>
      </c>
      <c r="C1314" s="421">
        <v>1</v>
      </c>
      <c r="D1314" s="41"/>
    </row>
    <row r="1315" spans="1:4">
      <c r="A1315" s="183" t="s">
        <v>2</v>
      </c>
      <c r="B1315" s="185" t="str">
        <f>VLOOKUP($B1314,'BANG LUONG 1'!$B$5:$AB$47,C1315,0)</f>
        <v>Trần văn Nguyện</v>
      </c>
      <c r="C1315" s="421">
        <v>2</v>
      </c>
      <c r="D1315" s="41"/>
    </row>
    <row r="1316" spans="1:4">
      <c r="A1316" s="421" t="s">
        <v>3</v>
      </c>
      <c r="B1316" s="41" t="str">
        <f>VLOOKUP($B1314,'BANG LUONG 1'!$B$5:$AJ$47,C1316,0)</f>
        <v>Công nhân  (TX )</v>
      </c>
      <c r="C1316" s="421">
        <v>3</v>
      </c>
      <c r="D1316" s="41"/>
    </row>
    <row r="1317" spans="1:4">
      <c r="A1317" s="421" t="s">
        <v>376</v>
      </c>
      <c r="B1317" s="410">
        <f>VLOOKUP($B1314,'BANG LUONG 1'!$B$4:$AJ$55,4,0)</f>
        <v>42522</v>
      </c>
      <c r="C1317" s="421">
        <v>4</v>
      </c>
      <c r="D1317" s="41"/>
    </row>
    <row r="1318" spans="1:4">
      <c r="A1318" s="421" t="s">
        <v>698</v>
      </c>
      <c r="B1318" s="411">
        <f>VLOOKUP(B1314,'BANG LUONG 1'!$B$4:$AJ$55,6,0)</f>
        <v>0.03</v>
      </c>
      <c r="C1318" s="421">
        <v>5</v>
      </c>
      <c r="D1318" s="41"/>
    </row>
    <row r="1319" spans="1:4">
      <c r="A1319" s="421" t="s">
        <v>229</v>
      </c>
      <c r="B1319" s="412">
        <f>'thang luong moi'!$F$5</f>
        <v>4012500</v>
      </c>
      <c r="C1319" s="421">
        <v>6</v>
      </c>
      <c r="D1319" s="41"/>
    </row>
    <row r="1320" spans="1:4">
      <c r="A1320" s="421" t="s">
        <v>217</v>
      </c>
      <c r="B1320" s="412" t="str">
        <f>VLOOKUP(B1314,'BANG LUONG 1'!$B$4:$AJ$55,8,0)</f>
        <v>B.02</v>
      </c>
      <c r="C1320" s="421">
        <v>7</v>
      </c>
      <c r="D1320" s="41"/>
    </row>
    <row r="1321" spans="1:4">
      <c r="A1321" s="421" t="s">
        <v>230</v>
      </c>
      <c r="B1321" s="412">
        <f>VLOOKUP(B1314,'BANG LUONG 1'!$B$4:$AJ$55,9,0)</f>
        <v>1</v>
      </c>
      <c r="C1321" s="421">
        <v>8</v>
      </c>
      <c r="D1321" s="41"/>
    </row>
    <row r="1322" spans="1:4">
      <c r="A1322" s="421" t="s">
        <v>538</v>
      </c>
      <c r="B1322" s="412">
        <f>VLOOKUP(B1314,'BANG LUONG 1'!$B$4:$AJ$55,11,0)</f>
        <v>4413750</v>
      </c>
      <c r="C1322" s="421">
        <v>9</v>
      </c>
      <c r="D1322" s="41"/>
    </row>
    <row r="1323" spans="1:4">
      <c r="A1323" s="421" t="s">
        <v>354</v>
      </c>
      <c r="B1323" s="412">
        <f>VLOOKUP(B1314,'BANG LUONG 1'!$B$4:$AJ$55,12,0)</f>
        <v>27</v>
      </c>
      <c r="C1323" s="421">
        <v>10</v>
      </c>
      <c r="D1323" s="41"/>
    </row>
    <row r="1324" spans="1:4">
      <c r="A1324" s="421" t="s">
        <v>534</v>
      </c>
      <c r="B1324" s="412">
        <f>VLOOKUP(B1314,'BANG LUONG 1'!$B$4:$AJ$55,13,0)</f>
        <v>4583509.615384615</v>
      </c>
      <c r="C1324" s="421">
        <v>11</v>
      </c>
      <c r="D1324" s="41"/>
    </row>
    <row r="1325" spans="1:4">
      <c r="A1325" s="421" t="s">
        <v>592</v>
      </c>
      <c r="B1325" s="412">
        <f>VLOOKUP(B1314,'BANG LUONG 1'!$B$4:$AJ$55,14,0)</f>
        <v>0</v>
      </c>
      <c r="C1325" s="421">
        <v>12</v>
      </c>
      <c r="D1325" s="41">
        <f>B1322/26*B1325</f>
        <v>0</v>
      </c>
    </row>
    <row r="1326" spans="1:4">
      <c r="A1326" s="421" t="s">
        <v>357</v>
      </c>
      <c r="B1326" s="412">
        <f>VLOOKUP(B1314,'BANG LUONG 1'!$B$4:$AJ$55,15,0)</f>
        <v>0</v>
      </c>
      <c r="C1326" s="421">
        <v>13</v>
      </c>
      <c r="D1326" s="41">
        <f>B1322/26/8*1.5*B1326</f>
        <v>0</v>
      </c>
    </row>
    <row r="1327" spans="1:4">
      <c r="A1327" s="421" t="s">
        <v>387</v>
      </c>
      <c r="B1327" s="412">
        <f>VLOOKUP(B1314,'BANG LUONG 1'!$B$4:$AJ$55,16,0)</f>
        <v>0</v>
      </c>
      <c r="C1327" s="421">
        <v>14</v>
      </c>
      <c r="D1327" s="41">
        <f>B1322/26/8*2*B1327</f>
        <v>0</v>
      </c>
    </row>
    <row r="1328" spans="1:4">
      <c r="A1328" s="421" t="s">
        <v>593</v>
      </c>
      <c r="B1328" s="412">
        <f>VLOOKUP(B1314,'BANG LUONG 1'!$B$4:$AJ$55,17,0)</f>
        <v>0</v>
      </c>
      <c r="C1328" s="421"/>
      <c r="D1328" s="41">
        <f>(B1322/26)*B1328</f>
        <v>0</v>
      </c>
    </row>
    <row r="1329" spans="1:5">
      <c r="A1329" s="421" t="s">
        <v>388</v>
      </c>
      <c r="B1329" s="412">
        <f>VLOOKUP(B1314,'BANG LUONG 1'!$B$4:$AJ$55,18,0)</f>
        <v>0</v>
      </c>
      <c r="C1329" s="421">
        <v>15</v>
      </c>
      <c r="D1329" s="41">
        <f>(B1322/26*B1329)*3</f>
        <v>0</v>
      </c>
    </row>
    <row r="1330" spans="1:5">
      <c r="A1330" s="421" t="s">
        <v>533</v>
      </c>
      <c r="B1330" s="412">
        <f>VLOOKUP(B1314,'BANG LUONG 1'!$B$4:$AJ$55,19,0)</f>
        <v>4583509.615384615</v>
      </c>
      <c r="C1330" s="183">
        <v>16</v>
      </c>
      <c r="D1330" s="185">
        <f>B1324+D1326+D1327+D1325+D1329+D1328</f>
        <v>4583509.615384615</v>
      </c>
      <c r="E1330" s="108"/>
    </row>
    <row r="1331" spans="1:5">
      <c r="A1331" s="421" t="s">
        <v>535</v>
      </c>
      <c r="B1331" s="412">
        <f>VLOOKUP(B1314,'BANG LUONG 1'!$B$4:$AJ$55,20,0)</f>
        <v>-4583509.615384615</v>
      </c>
      <c r="C1331" s="421">
        <v>17</v>
      </c>
      <c r="D1331" s="41"/>
    </row>
    <row r="1332" spans="1:5">
      <c r="A1332" s="421" t="s">
        <v>370</v>
      </c>
      <c r="B1332" s="412">
        <f>VLOOKUP(B1314,'BANG LUONG 1'!$B$4:$AJ$55,22,0)</f>
        <v>132412.5</v>
      </c>
      <c r="C1332" s="421">
        <v>18</v>
      </c>
      <c r="D1332" s="41"/>
    </row>
    <row r="1333" spans="1:5">
      <c r="A1333" s="421" t="s">
        <v>371</v>
      </c>
      <c r="B1333" s="412">
        <f>VLOOKUP(B1314,'BANG LUONG 1'!$B$4:$AJ$55,23,0)</f>
        <v>300000</v>
      </c>
      <c r="C1333" s="421">
        <v>19</v>
      </c>
      <c r="D1333" s="41"/>
    </row>
    <row r="1334" spans="1:5">
      <c r="A1334" s="421" t="s">
        <v>560</v>
      </c>
      <c r="B1334" s="412">
        <f>VLOOKUP(B1314,'BANG LUONG 1'!$B$4:$AJ$55,24,0)</f>
        <v>0</v>
      </c>
      <c r="C1334" s="421">
        <v>22</v>
      </c>
      <c r="D1334" s="41"/>
    </row>
    <row r="1335" spans="1:5">
      <c r="A1335" s="183" t="s">
        <v>237</v>
      </c>
      <c r="B1335" s="415">
        <f>VLOOKUP(B1314,'BANG LUONG 1'!$B$4:$AJ$55,26,0)</f>
        <v>432412.5</v>
      </c>
      <c r="C1335" s="421">
        <v>24</v>
      </c>
      <c r="D1335" s="41"/>
    </row>
    <row r="1336" spans="1:5">
      <c r="A1336" s="421" t="s">
        <v>545</v>
      </c>
      <c r="B1336" s="412">
        <f>VLOOKUP(B1314,'BANG LUONG 1'!$B$4:$AJ$55,27,0)</f>
        <v>2000000</v>
      </c>
      <c r="C1336" s="421">
        <v>25</v>
      </c>
      <c r="D1336" s="41"/>
    </row>
    <row r="1337" spans="1:5">
      <c r="A1337" s="421" t="s">
        <v>544</v>
      </c>
      <c r="B1337" s="412">
        <f>VLOOKUP(B1314,'BANG LUONG 1'!$B$4:$AJ$55,28,0)</f>
        <v>480585</v>
      </c>
      <c r="C1337" s="421">
        <v>26</v>
      </c>
      <c r="D1337" s="41"/>
    </row>
    <row r="1338" spans="1:5">
      <c r="A1338" s="421" t="s">
        <v>713</v>
      </c>
      <c r="B1338" s="415">
        <f>VLOOKUP(B1314,'BANG LUONG 1'!$B$4:$AJ$55,32,0)</f>
        <v>0</v>
      </c>
      <c r="C1338" s="421"/>
      <c r="D1338" s="41"/>
    </row>
    <row r="1339" spans="1:5">
      <c r="A1339" s="421" t="s">
        <v>714</v>
      </c>
      <c r="B1339" s="415">
        <f>VLOOKUP(B1314,'BANG LUONG 1'!$B$4:$AJ$55,33,0)</f>
        <v>0</v>
      </c>
      <c r="C1339" s="421"/>
      <c r="D1339" s="41"/>
    </row>
    <row r="1340" spans="1:5">
      <c r="A1340" s="183" t="s">
        <v>707</v>
      </c>
      <c r="B1340" s="415">
        <f>VLOOKUP(B1314,'BANG LUONG 1'!$B$4:$AJ$55,34,0)</f>
        <v>0</v>
      </c>
      <c r="C1340" s="421"/>
      <c r="D1340" s="41"/>
      <c r="E1340" s="108" t="str">
        <f>B1315</f>
        <v>Trần văn Nguyện</v>
      </c>
    </row>
    <row r="1341" spans="1:5">
      <c r="A1341" s="183" t="s">
        <v>546</v>
      </c>
      <c r="B1341" s="415">
        <f>VLOOKUP(B1314,'BANG LUONG 1'!$B$4:$AJ$55,35,0)</f>
        <v>-2048000</v>
      </c>
      <c r="C1341" s="421"/>
      <c r="D1341" s="41"/>
    </row>
    <row r="1342" spans="1:5">
      <c r="A1342" s="184" t="s">
        <v>549</v>
      </c>
      <c r="B1342" s="424">
        <f>'BANG LUONG 1'!$P$2</f>
        <v>43702</v>
      </c>
    </row>
    <row r="1343" spans="1:5">
      <c r="A1343" s="183" t="s">
        <v>1</v>
      </c>
      <c r="B1343" s="185" t="s">
        <v>141</v>
      </c>
      <c r="C1343" s="421">
        <v>1</v>
      </c>
      <c r="D1343" s="41"/>
    </row>
    <row r="1344" spans="1:5">
      <c r="A1344" s="183" t="s">
        <v>2</v>
      </c>
      <c r="B1344" s="185" t="str">
        <f>VLOOKUP($B1343,'BANG LUONG 1'!$B$5:$AB$47,C1344,0)</f>
        <v>Trần văn Nguyện</v>
      </c>
      <c r="C1344" s="421">
        <v>2</v>
      </c>
      <c r="D1344" s="41"/>
    </row>
    <row r="1345" spans="1:5">
      <c r="A1345" s="421" t="s">
        <v>3</v>
      </c>
      <c r="B1345" s="41" t="str">
        <f>VLOOKUP($B1343,'BANG LUONG 1'!$B$5:$AJ$47,C1345,0)</f>
        <v>Công nhân  (TX )</v>
      </c>
      <c r="C1345" s="421">
        <v>3</v>
      </c>
      <c r="D1345" s="41"/>
    </row>
    <row r="1346" spans="1:5">
      <c r="A1346" s="421" t="s">
        <v>376</v>
      </c>
      <c r="B1346" s="410">
        <f>VLOOKUP($B1343,'BANG LUONG 1'!$B$4:$AJ$55,4,0)</f>
        <v>42522</v>
      </c>
      <c r="C1346" s="421">
        <v>4</v>
      </c>
      <c r="D1346" s="41"/>
    </row>
    <row r="1347" spans="1:5">
      <c r="A1347" s="421" t="s">
        <v>698</v>
      </c>
      <c r="B1347" s="411">
        <f>VLOOKUP(B1343,'BANG LUONG 1'!$B$4:$AJ$55,6,0)</f>
        <v>0.03</v>
      </c>
      <c r="C1347" s="421">
        <v>5</v>
      </c>
      <c r="D1347" s="41"/>
    </row>
    <row r="1348" spans="1:5">
      <c r="A1348" s="421" t="s">
        <v>229</v>
      </c>
      <c r="B1348" s="412">
        <f>'thang luong moi'!$F$5</f>
        <v>4012500</v>
      </c>
      <c r="C1348" s="421">
        <v>6</v>
      </c>
      <c r="D1348" s="41"/>
    </row>
    <row r="1349" spans="1:5">
      <c r="A1349" s="421" t="s">
        <v>217</v>
      </c>
      <c r="B1349" s="412" t="str">
        <f>VLOOKUP(B1343,'BANG LUONG 1'!$B$4:$AJ$55,8,0)</f>
        <v>B.02</v>
      </c>
      <c r="C1349" s="421">
        <v>7</v>
      </c>
      <c r="D1349" s="41"/>
    </row>
    <row r="1350" spans="1:5">
      <c r="A1350" s="421" t="s">
        <v>230</v>
      </c>
      <c r="B1350" s="412">
        <f>VLOOKUP(B1343,'BANG LUONG 1'!$B$4:$AJ$55,9,0)</f>
        <v>1</v>
      </c>
      <c r="C1350" s="421">
        <v>8</v>
      </c>
      <c r="D1350" s="41"/>
    </row>
    <row r="1351" spans="1:5">
      <c r="A1351" s="421" t="s">
        <v>538</v>
      </c>
      <c r="B1351" s="412">
        <f>VLOOKUP(B1343,'BANG LUONG 1'!$B$4:$AJ$55,11,0)</f>
        <v>4413750</v>
      </c>
      <c r="C1351" s="421">
        <v>9</v>
      </c>
      <c r="D1351" s="41"/>
    </row>
    <row r="1352" spans="1:5">
      <c r="A1352" s="421" t="s">
        <v>354</v>
      </c>
      <c r="B1352" s="412">
        <f>VLOOKUP(B1343,'BANG LUONG 1'!$B$4:$AJ$55,12,0)</f>
        <v>27</v>
      </c>
      <c r="C1352" s="421">
        <v>10</v>
      </c>
      <c r="D1352" s="41"/>
    </row>
    <row r="1353" spans="1:5">
      <c r="A1353" s="421" t="s">
        <v>534</v>
      </c>
      <c r="B1353" s="412">
        <f>VLOOKUP(B1343,'BANG LUONG 1'!$B$4:$AJ$55,13,0)</f>
        <v>4583509.615384615</v>
      </c>
      <c r="C1353" s="421">
        <v>11</v>
      </c>
      <c r="D1353" s="41"/>
    </row>
    <row r="1354" spans="1:5">
      <c r="A1354" s="421" t="s">
        <v>592</v>
      </c>
      <c r="B1354" s="412">
        <f>VLOOKUP(B1343,'BANG LUONG 1'!$B$4:$AJ$55,14,0)</f>
        <v>0</v>
      </c>
      <c r="C1354" s="421">
        <v>12</v>
      </c>
      <c r="D1354" s="41">
        <f>B1351/26*B1354</f>
        <v>0</v>
      </c>
    </row>
    <row r="1355" spans="1:5">
      <c r="A1355" s="421" t="s">
        <v>357</v>
      </c>
      <c r="B1355" s="412">
        <f>VLOOKUP(B1343,'BANG LUONG 1'!$B$4:$AJ$55,15,0)</f>
        <v>0</v>
      </c>
      <c r="C1355" s="421">
        <v>13</v>
      </c>
      <c r="D1355" s="41">
        <f>B1351/26/8*1.5*B1355</f>
        <v>0</v>
      </c>
    </row>
    <row r="1356" spans="1:5">
      <c r="A1356" s="421" t="s">
        <v>387</v>
      </c>
      <c r="B1356" s="412">
        <f>VLOOKUP(B1343,'BANG LUONG 1'!$B$4:$AJ$55,16,0)</f>
        <v>0</v>
      </c>
      <c r="C1356" s="421">
        <v>14</v>
      </c>
      <c r="D1356" s="41">
        <f>B1351/26/8*2*B1356</f>
        <v>0</v>
      </c>
    </row>
    <row r="1357" spans="1:5">
      <c r="A1357" s="421" t="s">
        <v>593</v>
      </c>
      <c r="B1357" s="412">
        <f>VLOOKUP(B1343,'BANG LUONG 1'!$B$4:$AJ$55,17,0)</f>
        <v>0</v>
      </c>
      <c r="C1357" s="421"/>
      <c r="D1357" s="41">
        <f>(B1351/26)*B1357</f>
        <v>0</v>
      </c>
    </row>
    <row r="1358" spans="1:5">
      <c r="A1358" s="421" t="s">
        <v>388</v>
      </c>
      <c r="B1358" s="412">
        <f>VLOOKUP(B1343,'BANG LUONG 1'!$B$4:$AJ$55,18,0)</f>
        <v>0</v>
      </c>
      <c r="C1358" s="421">
        <v>15</v>
      </c>
      <c r="D1358" s="41">
        <f>(B1351/26*B1358)*3</f>
        <v>0</v>
      </c>
    </row>
    <row r="1359" spans="1:5">
      <c r="A1359" s="421" t="s">
        <v>533</v>
      </c>
      <c r="B1359" s="412">
        <f>VLOOKUP(B1343,'BANG LUONG 1'!$B$4:$AJ$55,19,0)</f>
        <v>4583509.615384615</v>
      </c>
      <c r="C1359" s="183">
        <v>16</v>
      </c>
      <c r="D1359" s="185">
        <f>B1353+D1355+D1356+D1354+D1358+D1357</f>
        <v>4583509.615384615</v>
      </c>
      <c r="E1359" s="108"/>
    </row>
    <row r="1360" spans="1:5">
      <c r="A1360" s="421" t="s">
        <v>535</v>
      </c>
      <c r="B1360" s="412">
        <f>VLOOKUP(B1343,'BANG LUONG 1'!$B$4:$AJ$55,20,0)</f>
        <v>-4583509.615384615</v>
      </c>
      <c r="C1360" s="421">
        <v>17</v>
      </c>
      <c r="D1360" s="41"/>
    </row>
    <row r="1361" spans="1:5">
      <c r="A1361" s="421" t="s">
        <v>370</v>
      </c>
      <c r="B1361" s="412">
        <f>VLOOKUP(B1343,'BANG LUONG 1'!$B$4:$AJ$55,22,0)</f>
        <v>132412.5</v>
      </c>
      <c r="C1361" s="421">
        <v>18</v>
      </c>
      <c r="D1361" s="41"/>
    </row>
    <row r="1362" spans="1:5">
      <c r="A1362" s="421" t="s">
        <v>371</v>
      </c>
      <c r="B1362" s="412">
        <f>VLOOKUP(B1343,'BANG LUONG 1'!$B$4:$AJ$55,23,0)</f>
        <v>300000</v>
      </c>
      <c r="C1362" s="421">
        <v>19</v>
      </c>
      <c r="D1362" s="41"/>
    </row>
    <row r="1363" spans="1:5">
      <c r="A1363" s="421" t="s">
        <v>560</v>
      </c>
      <c r="B1363" s="412">
        <f>VLOOKUP(B1343,'BANG LUONG 1'!$B$4:$AJ$55,24,0)</f>
        <v>0</v>
      </c>
      <c r="C1363" s="421">
        <v>22</v>
      </c>
      <c r="D1363" s="41"/>
    </row>
    <row r="1364" spans="1:5">
      <c r="A1364" s="183" t="s">
        <v>237</v>
      </c>
      <c r="B1364" s="415">
        <f>VLOOKUP(B1343,'BANG LUONG 1'!$B$4:$AJ$55,26,0)</f>
        <v>432412.5</v>
      </c>
      <c r="C1364" s="421">
        <v>24</v>
      </c>
      <c r="D1364" s="41"/>
    </row>
    <row r="1365" spans="1:5">
      <c r="A1365" s="421" t="s">
        <v>545</v>
      </c>
      <c r="B1365" s="412">
        <f>VLOOKUP(B1343,'BANG LUONG 1'!$B$4:$AJ$55,27,0)</f>
        <v>2000000</v>
      </c>
      <c r="C1365" s="421">
        <v>25</v>
      </c>
      <c r="D1365" s="41"/>
    </row>
    <row r="1366" spans="1:5">
      <c r="A1366" s="421" t="s">
        <v>544</v>
      </c>
      <c r="B1366" s="412">
        <f>VLOOKUP(B1343,'BANG LUONG 1'!$B$4:$AJ$55,28,0)</f>
        <v>480585</v>
      </c>
      <c r="C1366" s="421">
        <v>26</v>
      </c>
      <c r="D1366" s="41"/>
    </row>
    <row r="1367" spans="1:5">
      <c r="A1367" s="421" t="s">
        <v>713</v>
      </c>
      <c r="B1367" s="415">
        <f>VLOOKUP(B1343,'BANG LUONG 1'!$B$4:$AJ$55,32,0)</f>
        <v>0</v>
      </c>
      <c r="C1367" s="421"/>
      <c r="D1367" s="41"/>
    </row>
    <row r="1368" spans="1:5">
      <c r="A1368" s="421" t="s">
        <v>714</v>
      </c>
      <c r="B1368" s="415">
        <f>VLOOKUP(B1343,'BANG LUONG 1'!$B$4:$AJ$55,33,0)</f>
        <v>0</v>
      </c>
      <c r="C1368" s="421"/>
      <c r="D1368" s="41"/>
    </row>
    <row r="1369" spans="1:5">
      <c r="A1369" s="183" t="s">
        <v>707</v>
      </c>
      <c r="B1369" s="415">
        <f>VLOOKUP(B1343,'BANG LUONG 1'!$B$4:$AJ$55,34,0)</f>
        <v>0</v>
      </c>
      <c r="C1369" s="421"/>
      <c r="D1369" s="41"/>
      <c r="E1369" s="108" t="str">
        <f>B1344</f>
        <v>Trần văn Nguyện</v>
      </c>
    </row>
    <row r="1370" spans="1:5">
      <c r="A1370" s="183" t="s">
        <v>546</v>
      </c>
      <c r="B1370" s="415">
        <f>VLOOKUP(B1343,'BANG LUONG 1'!$B$4:$AJ$55,35,0)</f>
        <v>-2048000</v>
      </c>
      <c r="C1370" s="421"/>
      <c r="D1370" s="41"/>
    </row>
    <row r="1371" spans="1:5">
      <c r="A1371" s="183"/>
      <c r="B1371" s="412"/>
      <c r="C1371" s="421">
        <v>27</v>
      </c>
      <c r="D1371" s="185"/>
    </row>
    <row r="1372" spans="1:5">
      <c r="A1372" s="184" t="s">
        <v>549</v>
      </c>
      <c r="B1372" s="424">
        <f>'BANG LUONG 1'!$P$2</f>
        <v>43702</v>
      </c>
    </row>
    <row r="1373" spans="1:5">
      <c r="A1373" s="183" t="s">
        <v>1</v>
      </c>
      <c r="B1373" s="185" t="s">
        <v>142</v>
      </c>
      <c r="C1373" s="421">
        <v>1</v>
      </c>
      <c r="D1373" s="41"/>
    </row>
    <row r="1374" spans="1:5">
      <c r="A1374" s="183" t="s">
        <v>2</v>
      </c>
      <c r="B1374" s="185" t="str">
        <f>VLOOKUP($B1373,'BANG LUONG 1'!$B$5:$AB$47,C1374,0)</f>
        <v>Châu Văn Tâm</v>
      </c>
      <c r="C1374" s="421">
        <v>2</v>
      </c>
      <c r="D1374" s="41"/>
    </row>
    <row r="1375" spans="1:5">
      <c r="A1375" s="421" t="s">
        <v>3</v>
      </c>
      <c r="B1375" s="41" t="str">
        <f>VLOOKUP($B1373,'BANG LUONG 1'!$B$5:$AJ$47,C1375,0)</f>
        <v>Lái xe cơ giới</v>
      </c>
      <c r="C1375" s="421">
        <v>3</v>
      </c>
      <c r="D1375" s="41"/>
    </row>
    <row r="1376" spans="1:5">
      <c r="A1376" s="421" t="s">
        <v>376</v>
      </c>
      <c r="B1376" s="410">
        <f>VLOOKUP($B1373,'BANG LUONG 1'!$B$4:$AJ$55,4,0)</f>
        <v>43248</v>
      </c>
      <c r="C1376" s="421">
        <v>4</v>
      </c>
      <c r="D1376" s="41"/>
    </row>
    <row r="1377" spans="1:5">
      <c r="A1377" s="421" t="s">
        <v>698</v>
      </c>
      <c r="B1377" s="411">
        <f>VLOOKUP(B1373,'BANG LUONG 1'!$B$4:$AJ$55,6,0)</f>
        <v>0</v>
      </c>
      <c r="C1377" s="421">
        <v>5</v>
      </c>
      <c r="D1377" s="41"/>
    </row>
    <row r="1378" spans="1:5">
      <c r="A1378" s="421" t="s">
        <v>229</v>
      </c>
      <c r="B1378" s="412">
        <f>'thang luong moi'!$F$5</f>
        <v>4012500</v>
      </c>
      <c r="C1378" s="421">
        <v>6</v>
      </c>
      <c r="D1378" s="41"/>
    </row>
    <row r="1379" spans="1:5">
      <c r="A1379" s="421" t="s">
        <v>217</v>
      </c>
      <c r="B1379" s="412" t="str">
        <f>VLOOKUP(B1373,'BANG LUONG 1'!$B$4:$AJ$55,8,0)</f>
        <v>B.02</v>
      </c>
      <c r="C1379" s="421">
        <v>7</v>
      </c>
      <c r="D1379" s="41"/>
    </row>
    <row r="1380" spans="1:5">
      <c r="A1380" s="421" t="s">
        <v>230</v>
      </c>
      <c r="B1380" s="412">
        <f>VLOOKUP(B1373,'BANG LUONG 1'!$B$4:$AJ$55,9,0)</f>
        <v>1</v>
      </c>
      <c r="C1380" s="421">
        <v>8</v>
      </c>
      <c r="D1380" s="41"/>
    </row>
    <row r="1381" spans="1:5">
      <c r="A1381" s="421" t="s">
        <v>538</v>
      </c>
      <c r="B1381" s="412">
        <f>VLOOKUP(B1373,'BANG LUONG 1'!$B$4:$AJ$55,11,0)</f>
        <v>4413750</v>
      </c>
      <c r="C1381" s="421">
        <v>9</v>
      </c>
      <c r="D1381" s="41"/>
    </row>
    <row r="1382" spans="1:5">
      <c r="A1382" s="421" t="s">
        <v>354</v>
      </c>
      <c r="B1382" s="412">
        <f>VLOOKUP(B1373,'BANG LUONG 1'!$B$4:$AJ$55,12,0)</f>
        <v>27</v>
      </c>
      <c r="C1382" s="421">
        <v>10</v>
      </c>
      <c r="D1382" s="41"/>
    </row>
    <row r="1383" spans="1:5">
      <c r="A1383" s="421" t="s">
        <v>534</v>
      </c>
      <c r="B1383" s="412">
        <f>VLOOKUP(B1373,'BANG LUONG 1'!$B$4:$AJ$55,13,0)</f>
        <v>4583509.615384615</v>
      </c>
      <c r="C1383" s="421">
        <v>11</v>
      </c>
      <c r="D1383" s="41"/>
    </row>
    <row r="1384" spans="1:5">
      <c r="A1384" s="421" t="s">
        <v>592</v>
      </c>
      <c r="B1384" s="412">
        <f>VLOOKUP(B1373,'BANG LUONG 1'!$B$4:$AJ$55,14,0)</f>
        <v>0</v>
      </c>
      <c r="C1384" s="421">
        <v>12</v>
      </c>
      <c r="D1384" s="41">
        <f>B1381/26*B1384</f>
        <v>0</v>
      </c>
    </row>
    <row r="1385" spans="1:5">
      <c r="A1385" s="421" t="s">
        <v>357</v>
      </c>
      <c r="B1385" s="412">
        <f>VLOOKUP(B1373,'BANG LUONG 1'!$B$4:$AJ$55,15,0)</f>
        <v>0</v>
      </c>
      <c r="C1385" s="421">
        <v>13</v>
      </c>
      <c r="D1385" s="41">
        <f>B1381/26/8*1.5*B1385</f>
        <v>0</v>
      </c>
    </row>
    <row r="1386" spans="1:5">
      <c r="A1386" s="421" t="s">
        <v>387</v>
      </c>
      <c r="B1386" s="412">
        <f>VLOOKUP(B1373,'BANG LUONG 1'!$B$4:$AJ$55,16,0)</f>
        <v>0</v>
      </c>
      <c r="C1386" s="421">
        <v>14</v>
      </c>
      <c r="D1386" s="41">
        <f>B1381/26/8*2*B1386</f>
        <v>0</v>
      </c>
    </row>
    <row r="1387" spans="1:5">
      <c r="A1387" s="421" t="s">
        <v>593</v>
      </c>
      <c r="B1387" s="412">
        <f>VLOOKUP(B1373,'BANG LUONG 1'!$B$4:$AJ$55,17,0)</f>
        <v>0</v>
      </c>
      <c r="C1387" s="421"/>
      <c r="D1387" s="41">
        <f>(B1381/26)*B1387</f>
        <v>0</v>
      </c>
    </row>
    <row r="1388" spans="1:5">
      <c r="A1388" s="421" t="s">
        <v>388</v>
      </c>
      <c r="B1388" s="412">
        <f>VLOOKUP(B1373,'BANG LUONG 1'!$B$4:$AJ$55,18,0)</f>
        <v>0</v>
      </c>
      <c r="C1388" s="421">
        <v>15</v>
      </c>
      <c r="D1388" s="41">
        <f>(B1381/26*B1388)*3</f>
        <v>0</v>
      </c>
    </row>
    <row r="1389" spans="1:5">
      <c r="A1389" s="421" t="s">
        <v>533</v>
      </c>
      <c r="B1389" s="412">
        <f>VLOOKUP(B1373,'BANG LUONG 1'!$B$4:$AJ$55,19,0)</f>
        <v>4583509.615384615</v>
      </c>
      <c r="C1389" s="183">
        <v>16</v>
      </c>
      <c r="D1389" s="185">
        <f>B1383+D1385+D1386+D1384+D1388+D1387</f>
        <v>4583509.615384615</v>
      </c>
      <c r="E1389" s="108"/>
    </row>
    <row r="1390" spans="1:5">
      <c r="A1390" s="421" t="s">
        <v>535</v>
      </c>
      <c r="B1390" s="412">
        <f>VLOOKUP(B1373,'BANG LUONG 1'!$B$4:$AJ$55,20,0)</f>
        <v>-4583509.615384615</v>
      </c>
      <c r="C1390" s="421">
        <v>17</v>
      </c>
      <c r="D1390" s="41"/>
    </row>
    <row r="1391" spans="1:5">
      <c r="A1391" s="421" t="s">
        <v>370</v>
      </c>
      <c r="B1391" s="412">
        <f>VLOOKUP(B1373,'BANG LUONG 1'!$B$4:$AJ$55,22,0)</f>
        <v>0</v>
      </c>
      <c r="C1391" s="421">
        <v>18</v>
      </c>
      <c r="D1391" s="41"/>
    </row>
    <row r="1392" spans="1:5">
      <c r="A1392" s="421" t="s">
        <v>371</v>
      </c>
      <c r="B1392" s="412">
        <f>VLOOKUP(B1373,'BANG LUONG 1'!$B$4:$AJ$55,23,0)</f>
        <v>300000</v>
      </c>
      <c r="C1392" s="421">
        <v>19</v>
      </c>
      <c r="D1392" s="41"/>
    </row>
    <row r="1393" spans="1:5">
      <c r="A1393" s="421" t="s">
        <v>560</v>
      </c>
      <c r="B1393" s="412">
        <f>VLOOKUP(B1373,'BANG LUONG 1'!$B$4:$AJ$55,24,0)</f>
        <v>0</v>
      </c>
      <c r="C1393" s="421">
        <v>22</v>
      </c>
      <c r="D1393" s="41"/>
    </row>
    <row r="1394" spans="1:5">
      <c r="A1394" s="183" t="s">
        <v>237</v>
      </c>
      <c r="B1394" s="415">
        <f>VLOOKUP(B1373,'BANG LUONG 1'!$B$4:$AJ$55,26,0)</f>
        <v>300000</v>
      </c>
      <c r="C1394" s="421">
        <v>24</v>
      </c>
      <c r="D1394" s="41"/>
    </row>
    <row r="1395" spans="1:5">
      <c r="A1395" s="421" t="s">
        <v>545</v>
      </c>
      <c r="B1395" s="412">
        <f>VLOOKUP(B1373,'BANG LUONG 1'!$B$4:$AJ$55,27,0)</f>
        <v>4000000</v>
      </c>
      <c r="C1395" s="421">
        <v>25</v>
      </c>
      <c r="D1395" s="41"/>
    </row>
    <row r="1396" spans="1:5">
      <c r="A1396" s="421" t="s">
        <v>544</v>
      </c>
      <c r="B1396" s="412">
        <f>VLOOKUP(B1373,'BANG LUONG 1'!$B$4:$AJ$55,28,0)</f>
        <v>480585</v>
      </c>
      <c r="C1396" s="421">
        <v>26</v>
      </c>
      <c r="D1396" s="41"/>
    </row>
    <row r="1397" spans="1:5">
      <c r="A1397" s="421" t="s">
        <v>713</v>
      </c>
      <c r="B1397" s="415">
        <f>VLOOKUP(B1373,'BANG LUONG 1'!$B$4:$AJ$55,32,0)</f>
        <v>0</v>
      </c>
      <c r="C1397" s="421"/>
      <c r="D1397" s="41"/>
    </row>
    <row r="1398" spans="1:5">
      <c r="A1398" s="421" t="s">
        <v>714</v>
      </c>
      <c r="B1398" s="415">
        <f>VLOOKUP(B1373,'BANG LUONG 1'!$B$4:$AJ$55,33,0)</f>
        <v>0</v>
      </c>
      <c r="C1398" s="421"/>
      <c r="D1398" s="41"/>
    </row>
    <row r="1399" spans="1:5">
      <c r="A1399" s="183" t="s">
        <v>707</v>
      </c>
      <c r="B1399" s="415">
        <f>VLOOKUP(B1373,'BANG LUONG 1'!$B$4:$AJ$55,34,0)</f>
        <v>0</v>
      </c>
      <c r="C1399" s="421"/>
      <c r="D1399" s="41"/>
      <c r="E1399" s="108" t="str">
        <f>B1374</f>
        <v>Châu Văn Tâm</v>
      </c>
    </row>
    <row r="1400" spans="1:5">
      <c r="A1400" s="183" t="s">
        <v>546</v>
      </c>
      <c r="B1400" s="415">
        <f>VLOOKUP(B1373,'BANG LUONG 1'!$B$4:$AJ$55,35,0)</f>
        <v>-4181000</v>
      </c>
      <c r="C1400" s="421"/>
      <c r="D1400" s="41"/>
    </row>
    <row r="1401" spans="1:5">
      <c r="A1401" s="183"/>
      <c r="B1401" s="412"/>
      <c r="C1401" s="421">
        <v>27</v>
      </c>
      <c r="D1401" s="185"/>
    </row>
    <row r="1402" spans="1:5">
      <c r="A1402" s="184" t="s">
        <v>549</v>
      </c>
      <c r="B1402" s="424">
        <f>'BANG LUONG 1'!$P$2</f>
        <v>43702</v>
      </c>
    </row>
    <row r="1403" spans="1:5">
      <c r="A1403" s="183" t="s">
        <v>1</v>
      </c>
      <c r="B1403" s="185" t="s">
        <v>142</v>
      </c>
      <c r="C1403" s="421">
        <v>1</v>
      </c>
      <c r="D1403" s="41"/>
    </row>
    <row r="1404" spans="1:5">
      <c r="A1404" s="183" t="s">
        <v>2</v>
      </c>
      <c r="B1404" s="185" t="str">
        <f>VLOOKUP($B1403,'BANG LUONG 1'!$B$5:$AB$47,C1404,0)</f>
        <v>Châu Văn Tâm</v>
      </c>
      <c r="C1404" s="421">
        <v>2</v>
      </c>
      <c r="D1404" s="41"/>
    </row>
    <row r="1405" spans="1:5">
      <c r="A1405" s="421" t="s">
        <v>3</v>
      </c>
      <c r="B1405" s="41" t="str">
        <f>VLOOKUP($B1403,'BANG LUONG 1'!$B$5:$AJ$47,C1405,0)</f>
        <v>Lái xe cơ giới</v>
      </c>
      <c r="C1405" s="421">
        <v>3</v>
      </c>
      <c r="D1405" s="41"/>
    </row>
    <row r="1406" spans="1:5">
      <c r="A1406" s="421" t="s">
        <v>376</v>
      </c>
      <c r="B1406" s="410">
        <f>VLOOKUP($B1403,'BANG LUONG 1'!$B$4:$AJ$55,4,0)</f>
        <v>43248</v>
      </c>
      <c r="C1406" s="421">
        <v>4</v>
      </c>
      <c r="D1406" s="41"/>
    </row>
    <row r="1407" spans="1:5">
      <c r="A1407" s="421" t="s">
        <v>698</v>
      </c>
      <c r="B1407" s="411">
        <f>VLOOKUP(B1403,'BANG LUONG 1'!$B$4:$AJ$55,6,0)</f>
        <v>0</v>
      </c>
      <c r="C1407" s="421">
        <v>5</v>
      </c>
      <c r="D1407" s="41"/>
    </row>
    <row r="1408" spans="1:5">
      <c r="A1408" s="421" t="s">
        <v>229</v>
      </c>
      <c r="B1408" s="412">
        <f>'thang luong moi'!$F$5</f>
        <v>4012500</v>
      </c>
      <c r="C1408" s="421">
        <v>6</v>
      </c>
      <c r="D1408" s="41"/>
    </row>
    <row r="1409" spans="1:5">
      <c r="A1409" s="421" t="s">
        <v>217</v>
      </c>
      <c r="B1409" s="412" t="str">
        <f>VLOOKUP(B1403,'BANG LUONG 1'!$B$4:$AJ$55,8,0)</f>
        <v>B.02</v>
      </c>
      <c r="C1409" s="421">
        <v>7</v>
      </c>
      <c r="D1409" s="41"/>
    </row>
    <row r="1410" spans="1:5">
      <c r="A1410" s="421" t="s">
        <v>230</v>
      </c>
      <c r="B1410" s="412">
        <f>VLOOKUP(B1403,'BANG LUONG 1'!$B$4:$AJ$55,9,0)</f>
        <v>1</v>
      </c>
      <c r="C1410" s="421">
        <v>8</v>
      </c>
      <c r="D1410" s="41"/>
    </row>
    <row r="1411" spans="1:5">
      <c r="A1411" s="421" t="s">
        <v>538</v>
      </c>
      <c r="B1411" s="412">
        <f>VLOOKUP(B1403,'BANG LUONG 1'!$B$4:$AJ$55,11,0)</f>
        <v>4413750</v>
      </c>
      <c r="C1411" s="421">
        <v>9</v>
      </c>
      <c r="D1411" s="41"/>
    </row>
    <row r="1412" spans="1:5">
      <c r="A1412" s="421" t="s">
        <v>354</v>
      </c>
      <c r="B1412" s="412">
        <f>VLOOKUP(B1403,'BANG LUONG 1'!$B$4:$AJ$55,12,0)</f>
        <v>27</v>
      </c>
      <c r="C1412" s="421">
        <v>10</v>
      </c>
      <c r="D1412" s="41"/>
    </row>
    <row r="1413" spans="1:5">
      <c r="A1413" s="421" t="s">
        <v>534</v>
      </c>
      <c r="B1413" s="412">
        <f>VLOOKUP(B1403,'BANG LUONG 1'!$B$4:$AJ$55,13,0)</f>
        <v>4583509.615384615</v>
      </c>
      <c r="C1413" s="421">
        <v>11</v>
      </c>
      <c r="D1413" s="41"/>
    </row>
    <row r="1414" spans="1:5">
      <c r="A1414" s="421" t="s">
        <v>592</v>
      </c>
      <c r="B1414" s="412">
        <f>VLOOKUP(B1403,'BANG LUONG 1'!$B$4:$AJ$55,14,0)</f>
        <v>0</v>
      </c>
      <c r="C1414" s="421">
        <v>12</v>
      </c>
      <c r="D1414" s="41">
        <f>B1411/26*B1414</f>
        <v>0</v>
      </c>
    </row>
    <row r="1415" spans="1:5">
      <c r="A1415" s="421" t="s">
        <v>357</v>
      </c>
      <c r="B1415" s="412">
        <f>VLOOKUP(B1403,'BANG LUONG 1'!$B$4:$AJ$55,15,0)</f>
        <v>0</v>
      </c>
      <c r="C1415" s="421">
        <v>13</v>
      </c>
      <c r="D1415" s="41">
        <f>B1411/26/8*1.5*B1415</f>
        <v>0</v>
      </c>
    </row>
    <row r="1416" spans="1:5">
      <c r="A1416" s="421" t="s">
        <v>387</v>
      </c>
      <c r="B1416" s="412">
        <f>VLOOKUP(B1403,'BANG LUONG 1'!$B$4:$AJ$55,16,0)</f>
        <v>0</v>
      </c>
      <c r="C1416" s="421">
        <v>14</v>
      </c>
      <c r="D1416" s="41">
        <f>B1411/26/8*2*B1416</f>
        <v>0</v>
      </c>
    </row>
    <row r="1417" spans="1:5">
      <c r="A1417" s="421" t="s">
        <v>593</v>
      </c>
      <c r="B1417" s="412">
        <f>VLOOKUP(B1403,'BANG LUONG 1'!$B$4:$AJ$55,17,0)</f>
        <v>0</v>
      </c>
      <c r="C1417" s="421"/>
      <c r="D1417" s="41">
        <f>(B1411/26)*B1417</f>
        <v>0</v>
      </c>
    </row>
    <row r="1418" spans="1:5">
      <c r="A1418" s="421" t="s">
        <v>388</v>
      </c>
      <c r="B1418" s="412">
        <f>VLOOKUP(B1403,'BANG LUONG 1'!$B$4:$AJ$55,18,0)</f>
        <v>0</v>
      </c>
      <c r="C1418" s="421">
        <v>15</v>
      </c>
      <c r="D1418" s="41">
        <f>(B1411/26*B1418)*3</f>
        <v>0</v>
      </c>
    </row>
    <row r="1419" spans="1:5">
      <c r="A1419" s="421" t="s">
        <v>533</v>
      </c>
      <c r="B1419" s="412">
        <f>VLOOKUP(B1403,'BANG LUONG 1'!$B$4:$AJ$55,19,0)</f>
        <v>4583509.615384615</v>
      </c>
      <c r="C1419" s="183">
        <v>16</v>
      </c>
      <c r="D1419" s="185">
        <f>B1413+D1415+D1416+D1414+D1418+D1417</f>
        <v>4583509.615384615</v>
      </c>
      <c r="E1419" s="108"/>
    </row>
    <row r="1420" spans="1:5">
      <c r="A1420" s="421" t="s">
        <v>535</v>
      </c>
      <c r="B1420" s="412">
        <f>VLOOKUP(B1403,'BANG LUONG 1'!$B$4:$AJ$55,20,0)</f>
        <v>-4583509.615384615</v>
      </c>
      <c r="C1420" s="421">
        <v>17</v>
      </c>
      <c r="D1420" s="41"/>
    </row>
    <row r="1421" spans="1:5">
      <c r="A1421" s="421" t="s">
        <v>370</v>
      </c>
      <c r="B1421" s="412">
        <f>VLOOKUP(B1403,'BANG LUONG 1'!$B$4:$AJ$55,22,0)</f>
        <v>0</v>
      </c>
      <c r="C1421" s="421">
        <v>18</v>
      </c>
      <c r="D1421" s="41"/>
    </row>
    <row r="1422" spans="1:5">
      <c r="A1422" s="421" t="s">
        <v>371</v>
      </c>
      <c r="B1422" s="412">
        <f>VLOOKUP(B1403,'BANG LUONG 1'!$B$4:$AJ$55,23,0)</f>
        <v>300000</v>
      </c>
      <c r="C1422" s="421">
        <v>19</v>
      </c>
      <c r="D1422" s="41"/>
    </row>
    <row r="1423" spans="1:5">
      <c r="A1423" s="421" t="s">
        <v>560</v>
      </c>
      <c r="B1423" s="412">
        <f>VLOOKUP(B1403,'BANG LUONG 1'!$B$4:$AJ$55,24,0)</f>
        <v>0</v>
      </c>
      <c r="C1423" s="421">
        <v>22</v>
      </c>
      <c r="D1423" s="41"/>
    </row>
    <row r="1424" spans="1:5">
      <c r="A1424" s="183" t="s">
        <v>237</v>
      </c>
      <c r="B1424" s="415">
        <f>VLOOKUP(B1403,'BANG LUONG 1'!$B$4:$AJ$55,26,0)</f>
        <v>300000</v>
      </c>
      <c r="C1424" s="421">
        <v>24</v>
      </c>
      <c r="D1424" s="41"/>
    </row>
    <row r="1425" spans="1:5">
      <c r="A1425" s="421" t="s">
        <v>545</v>
      </c>
      <c r="B1425" s="412">
        <f>VLOOKUP(B1403,'BANG LUONG 1'!$B$4:$AJ$55,27,0)</f>
        <v>4000000</v>
      </c>
      <c r="C1425" s="421">
        <v>25</v>
      </c>
      <c r="D1425" s="41"/>
    </row>
    <row r="1426" spans="1:5">
      <c r="A1426" s="421" t="s">
        <v>544</v>
      </c>
      <c r="B1426" s="412">
        <f>VLOOKUP(B1403,'BANG LUONG 1'!$B$4:$AJ$55,28,0)</f>
        <v>480585</v>
      </c>
      <c r="C1426" s="421">
        <v>26</v>
      </c>
      <c r="D1426" s="41"/>
    </row>
    <row r="1427" spans="1:5">
      <c r="A1427" s="421" t="s">
        <v>713</v>
      </c>
      <c r="B1427" s="415">
        <f>VLOOKUP(B1403,'BANG LUONG 1'!$B$4:$AJ$55,32,0)</f>
        <v>0</v>
      </c>
      <c r="C1427" s="421"/>
      <c r="D1427" s="41"/>
    </row>
    <row r="1428" spans="1:5">
      <c r="A1428" s="421" t="s">
        <v>714</v>
      </c>
      <c r="B1428" s="415">
        <f>VLOOKUP(B1403,'BANG LUONG 1'!$B$4:$AJ$55,33,0)</f>
        <v>0</v>
      </c>
      <c r="C1428" s="421"/>
      <c r="D1428" s="41"/>
    </row>
    <row r="1429" spans="1:5">
      <c r="A1429" s="183" t="s">
        <v>707</v>
      </c>
      <c r="B1429" s="415">
        <f>VLOOKUP(B1403,'BANG LUONG 1'!$B$4:$AJ$55,34,0)</f>
        <v>0</v>
      </c>
      <c r="C1429" s="421"/>
      <c r="D1429" s="41"/>
      <c r="E1429" s="108" t="str">
        <f>B1404</f>
        <v>Châu Văn Tâm</v>
      </c>
    </row>
    <row r="1430" spans="1:5">
      <c r="A1430" s="183" t="s">
        <v>546</v>
      </c>
      <c r="B1430" s="415">
        <f>VLOOKUP(B1403,'BANG LUONG 1'!$B$4:$AJ$55,35,0)</f>
        <v>-4181000</v>
      </c>
      <c r="C1430" s="421"/>
      <c r="D1430" s="41"/>
    </row>
    <row r="1431" spans="1:5">
      <c r="A1431" s="183"/>
      <c r="B1431" s="412"/>
      <c r="C1431" s="421">
        <v>27</v>
      </c>
      <c r="D1431" s="185"/>
    </row>
    <row r="1432" spans="1:5">
      <c r="A1432" s="184" t="s">
        <v>549</v>
      </c>
      <c r="B1432" s="424">
        <f>'BANG LUONG 1'!$P$2</f>
        <v>43702</v>
      </c>
    </row>
    <row r="1433" spans="1:5">
      <c r="A1433" s="183" t="s">
        <v>1</v>
      </c>
      <c r="B1433" s="185" t="s">
        <v>143</v>
      </c>
      <c r="C1433" s="421">
        <v>1</v>
      </c>
      <c r="D1433" s="41"/>
    </row>
    <row r="1434" spans="1:5">
      <c r="A1434" s="183" t="s">
        <v>2</v>
      </c>
      <c r="B1434" s="185" t="str">
        <f>VLOOKUP($B1433,'BANG LUONG 1'!$B$5:$AB$47,C1434,0)</f>
        <v>Trần Ngọc Sơn</v>
      </c>
      <c r="C1434" s="421">
        <v>2</v>
      </c>
      <c r="D1434" s="41"/>
    </row>
    <row r="1435" spans="1:5">
      <c r="A1435" s="421" t="s">
        <v>3</v>
      </c>
      <c r="B1435" s="41" t="str">
        <f>VLOOKUP($B1433,'BANG LUONG 1'!$B$5:$AJ$47,C1435,0)</f>
        <v>Lái xe cơ giới</v>
      </c>
      <c r="C1435" s="421">
        <v>3</v>
      </c>
      <c r="D1435" s="41"/>
    </row>
    <row r="1436" spans="1:5">
      <c r="A1436" s="421" t="s">
        <v>376</v>
      </c>
      <c r="B1436" s="410">
        <f>VLOOKUP($B1433,'BANG LUONG 1'!$B$4:$AJ$55,4,0)</f>
        <v>43248</v>
      </c>
      <c r="C1436" s="421">
        <v>4</v>
      </c>
      <c r="D1436" s="41"/>
    </row>
    <row r="1437" spans="1:5">
      <c r="A1437" s="421" t="s">
        <v>698</v>
      </c>
      <c r="B1437" s="411">
        <f>VLOOKUP(B1433,'BANG LUONG 1'!$B$4:$AJ$55,6,0)</f>
        <v>0</v>
      </c>
      <c r="C1437" s="421">
        <v>5</v>
      </c>
      <c r="D1437" s="41"/>
    </row>
    <row r="1438" spans="1:5">
      <c r="A1438" s="421" t="s">
        <v>229</v>
      </c>
      <c r="B1438" s="412">
        <f>'thang luong moi'!$F$5</f>
        <v>4012500</v>
      </c>
      <c r="C1438" s="421">
        <v>6</v>
      </c>
      <c r="D1438" s="41"/>
    </row>
    <row r="1439" spans="1:5">
      <c r="A1439" s="421" t="s">
        <v>217</v>
      </c>
      <c r="B1439" s="412" t="str">
        <f>VLOOKUP(B1433,'BANG LUONG 1'!$B$4:$AJ$55,8,0)</f>
        <v>B.02</v>
      </c>
      <c r="C1439" s="421">
        <v>7</v>
      </c>
      <c r="D1439" s="41"/>
    </row>
    <row r="1440" spans="1:5">
      <c r="A1440" s="421" t="s">
        <v>230</v>
      </c>
      <c r="B1440" s="412">
        <f>VLOOKUP(B1433,'BANG LUONG 1'!$B$4:$AJ$55,9,0)</f>
        <v>1</v>
      </c>
      <c r="C1440" s="421">
        <v>8</v>
      </c>
      <c r="D1440" s="41"/>
    </row>
    <row r="1441" spans="1:5">
      <c r="A1441" s="421" t="s">
        <v>538</v>
      </c>
      <c r="B1441" s="412">
        <f>VLOOKUP(B1433,'BANG LUONG 1'!$B$4:$AJ$55,11,0)</f>
        <v>4413750</v>
      </c>
      <c r="C1441" s="421">
        <v>9</v>
      </c>
      <c r="D1441" s="41"/>
    </row>
    <row r="1442" spans="1:5">
      <c r="A1442" s="421" t="s">
        <v>354</v>
      </c>
      <c r="B1442" s="412">
        <f>VLOOKUP(B1433,'BANG LUONG 1'!$B$4:$AJ$55,12,0)</f>
        <v>27</v>
      </c>
      <c r="C1442" s="421">
        <v>10</v>
      </c>
      <c r="D1442" s="41"/>
    </row>
    <row r="1443" spans="1:5">
      <c r="A1443" s="421" t="s">
        <v>534</v>
      </c>
      <c r="B1443" s="412">
        <f>VLOOKUP(B1433,'BANG LUONG 1'!$B$4:$AJ$55,13,0)</f>
        <v>4583509.615384615</v>
      </c>
      <c r="C1443" s="421">
        <v>11</v>
      </c>
      <c r="D1443" s="41"/>
    </row>
    <row r="1444" spans="1:5">
      <c r="A1444" s="421" t="s">
        <v>592</v>
      </c>
      <c r="B1444" s="412">
        <f>VLOOKUP(B1433,'BANG LUONG 1'!$B$4:$AJ$55,14,0)</f>
        <v>0</v>
      </c>
      <c r="C1444" s="421">
        <v>12</v>
      </c>
      <c r="D1444" s="41">
        <f>B1441/26*B1444</f>
        <v>0</v>
      </c>
    </row>
    <row r="1445" spans="1:5">
      <c r="A1445" s="421" t="s">
        <v>357</v>
      </c>
      <c r="B1445" s="412">
        <f>VLOOKUP(B1433,'BANG LUONG 1'!$B$4:$AJ$55,15,0)</f>
        <v>0</v>
      </c>
      <c r="C1445" s="421">
        <v>13</v>
      </c>
      <c r="D1445" s="41">
        <f>B1441/26/8*1.5*B1445</f>
        <v>0</v>
      </c>
    </row>
    <row r="1446" spans="1:5">
      <c r="A1446" s="421" t="s">
        <v>387</v>
      </c>
      <c r="B1446" s="412">
        <f>VLOOKUP(B1433,'BANG LUONG 1'!$B$4:$AJ$55,16,0)</f>
        <v>0</v>
      </c>
      <c r="C1446" s="421">
        <v>14</v>
      </c>
      <c r="D1446" s="41">
        <f>B1441/26/8*2*B1446</f>
        <v>0</v>
      </c>
    </row>
    <row r="1447" spans="1:5">
      <c r="A1447" s="421" t="s">
        <v>593</v>
      </c>
      <c r="B1447" s="412">
        <f>VLOOKUP(B1433,'BANG LUONG 1'!$B$4:$AJ$55,17,0)</f>
        <v>0</v>
      </c>
      <c r="C1447" s="421"/>
      <c r="D1447" s="41">
        <f>(B1441/26)*B1447</f>
        <v>0</v>
      </c>
    </row>
    <row r="1448" spans="1:5">
      <c r="A1448" s="421" t="s">
        <v>388</v>
      </c>
      <c r="B1448" s="412">
        <f>VLOOKUP(B1433,'BANG LUONG 1'!$B$4:$AJ$55,18,0)</f>
        <v>0</v>
      </c>
      <c r="C1448" s="421">
        <v>15</v>
      </c>
      <c r="D1448" s="41">
        <f>(B1441/26*B1448)*3</f>
        <v>0</v>
      </c>
    </row>
    <row r="1449" spans="1:5">
      <c r="A1449" s="421" t="s">
        <v>533</v>
      </c>
      <c r="B1449" s="412">
        <f>VLOOKUP(B1433,'BANG LUONG 1'!$B$4:$AJ$55,19,0)</f>
        <v>4583509.615384615</v>
      </c>
      <c r="C1449" s="183">
        <v>16</v>
      </c>
      <c r="D1449" s="185">
        <f>B1443+D1445+D1446+D1444+D1448+D1447</f>
        <v>4583509.615384615</v>
      </c>
      <c r="E1449" s="108"/>
    </row>
    <row r="1450" spans="1:5">
      <c r="A1450" s="421" t="s">
        <v>535</v>
      </c>
      <c r="B1450" s="412">
        <f>VLOOKUP(B1433,'BANG LUONG 1'!$B$4:$AJ$55,20,0)</f>
        <v>-4583509.615384615</v>
      </c>
      <c r="C1450" s="421">
        <v>17</v>
      </c>
      <c r="D1450" s="41"/>
    </row>
    <row r="1451" spans="1:5">
      <c r="A1451" s="421" t="s">
        <v>370</v>
      </c>
      <c r="B1451" s="412">
        <f>VLOOKUP(B1433,'BANG LUONG 1'!$B$4:$AJ$55,22,0)</f>
        <v>0</v>
      </c>
      <c r="C1451" s="421">
        <v>18</v>
      </c>
      <c r="D1451" s="41"/>
    </row>
    <row r="1452" spans="1:5">
      <c r="A1452" s="421" t="s">
        <v>371</v>
      </c>
      <c r="B1452" s="412">
        <f>VLOOKUP(B1433,'BANG LUONG 1'!$B$4:$AJ$55,23,0)</f>
        <v>300000</v>
      </c>
      <c r="C1452" s="421">
        <v>19</v>
      </c>
      <c r="D1452" s="41"/>
    </row>
    <row r="1453" spans="1:5">
      <c r="A1453" s="421" t="s">
        <v>560</v>
      </c>
      <c r="B1453" s="412">
        <f>VLOOKUP(B1433,'BANG LUONG 1'!$B$4:$AJ$55,24,0)</f>
        <v>0</v>
      </c>
      <c r="C1453" s="421">
        <v>22</v>
      </c>
      <c r="D1453" s="41"/>
    </row>
    <row r="1454" spans="1:5">
      <c r="A1454" s="183" t="s">
        <v>237</v>
      </c>
      <c r="B1454" s="415">
        <f>VLOOKUP(B1433,'BANG LUONG 1'!$B$4:$AJ$55,26,0)</f>
        <v>300000</v>
      </c>
      <c r="C1454" s="421">
        <v>24</v>
      </c>
      <c r="D1454" s="41"/>
    </row>
    <row r="1455" spans="1:5">
      <c r="A1455" s="421" t="s">
        <v>545</v>
      </c>
      <c r="B1455" s="412">
        <f>VLOOKUP(B1433,'BANG LUONG 1'!$B$4:$AJ$55,27,0)</f>
        <v>4000000</v>
      </c>
      <c r="C1455" s="421">
        <v>25</v>
      </c>
      <c r="D1455" s="41"/>
    </row>
    <row r="1456" spans="1:5">
      <c r="A1456" s="421" t="s">
        <v>544</v>
      </c>
      <c r="B1456" s="412">
        <f>VLOOKUP(B1433,'BANG LUONG 1'!$B$4:$AJ$55,28,0)</f>
        <v>480585</v>
      </c>
      <c r="C1456" s="421">
        <v>26</v>
      </c>
      <c r="D1456" s="41"/>
    </row>
    <row r="1457" spans="1:7">
      <c r="A1457" s="421" t="s">
        <v>713</v>
      </c>
      <c r="B1457" s="415">
        <f>VLOOKUP(B1433,'BANG LUONG 1'!$B$4:$AJ$55,32,0)</f>
        <v>0</v>
      </c>
      <c r="C1457" s="421"/>
      <c r="D1457" s="41"/>
    </row>
    <row r="1458" spans="1:7">
      <c r="A1458" s="421" t="s">
        <v>714</v>
      </c>
      <c r="B1458" s="415">
        <f>VLOOKUP(B1433,'BANG LUONG 1'!$B$4:$AJ$55,33,0)</f>
        <v>0</v>
      </c>
      <c r="C1458" s="421"/>
      <c r="D1458" s="41"/>
    </row>
    <row r="1459" spans="1:7">
      <c r="A1459" s="183" t="s">
        <v>707</v>
      </c>
      <c r="B1459" s="415">
        <f>VLOOKUP(B1433,'BANG LUONG 1'!$B$4:$AJ$55,34,0)</f>
        <v>0</v>
      </c>
      <c r="C1459" s="421"/>
      <c r="D1459" s="41"/>
      <c r="E1459" s="108" t="str">
        <f>B1434</f>
        <v>Trần Ngọc Sơn</v>
      </c>
    </row>
    <row r="1460" spans="1:7">
      <c r="A1460" s="183" t="s">
        <v>546</v>
      </c>
      <c r="B1460" s="415">
        <f>VLOOKUP(B1433,'BANG LUONG 1'!$B$4:$AJ$55,35,0)</f>
        <v>-4181000</v>
      </c>
      <c r="C1460" s="421"/>
      <c r="D1460" s="41"/>
    </row>
    <row r="1461" spans="1:7">
      <c r="A1461" s="183"/>
      <c r="B1461" s="412"/>
      <c r="C1461" s="421">
        <v>27</v>
      </c>
      <c r="D1461" s="185"/>
    </row>
    <row r="1462" spans="1:7">
      <c r="A1462" s="184" t="s">
        <v>549</v>
      </c>
      <c r="B1462" s="424">
        <f>'BANG LUONG 1'!$P$2</f>
        <v>43702</v>
      </c>
    </row>
    <row r="1463" spans="1:7">
      <c r="A1463" s="183" t="s">
        <v>1</v>
      </c>
      <c r="B1463" s="185" t="s">
        <v>143</v>
      </c>
      <c r="C1463" s="421">
        <v>1</v>
      </c>
      <c r="D1463" s="41"/>
    </row>
    <row r="1464" spans="1:7">
      <c r="A1464" s="183" t="s">
        <v>2</v>
      </c>
      <c r="B1464" s="185" t="str">
        <f>VLOOKUP($B1463,'BANG LUONG 1'!$B$5:$AB$47,C1464,0)</f>
        <v>Trần Ngọc Sơn</v>
      </c>
      <c r="C1464" s="421">
        <v>2</v>
      </c>
      <c r="D1464" s="41"/>
    </row>
    <row r="1465" spans="1:7">
      <c r="A1465" s="421" t="s">
        <v>3</v>
      </c>
      <c r="B1465" s="41" t="str">
        <f>VLOOKUP($B1463,'BANG LUONG 1'!$B$5:$AJ$47,C1465,0)</f>
        <v>Lái xe cơ giới</v>
      </c>
      <c r="C1465" s="421">
        <v>3</v>
      </c>
      <c r="D1465" s="41"/>
    </row>
    <row r="1466" spans="1:7">
      <c r="A1466" s="421" t="s">
        <v>376</v>
      </c>
      <c r="B1466" s="410">
        <f>VLOOKUP($B1463,'BANG LUONG 1'!$B$4:$AJ$55,4,0)</f>
        <v>43248</v>
      </c>
      <c r="C1466" s="421">
        <v>4</v>
      </c>
      <c r="D1466" s="41"/>
    </row>
    <row r="1467" spans="1:7">
      <c r="A1467" s="421" t="s">
        <v>698</v>
      </c>
      <c r="B1467" s="411">
        <f>VLOOKUP(B1463,'BANG LUONG 1'!$B$4:$AJ$55,6,0)</f>
        <v>0</v>
      </c>
      <c r="C1467" s="421">
        <v>5</v>
      </c>
      <c r="D1467" s="41"/>
    </row>
    <row r="1468" spans="1:7">
      <c r="A1468" s="421" t="s">
        <v>229</v>
      </c>
      <c r="B1468" s="412">
        <f>'thang luong moi'!$F$5</f>
        <v>4012500</v>
      </c>
      <c r="C1468" s="421">
        <v>6</v>
      </c>
      <c r="D1468" s="41"/>
    </row>
    <row r="1469" spans="1:7">
      <c r="A1469" s="421" t="s">
        <v>217</v>
      </c>
      <c r="B1469" s="412" t="str">
        <f>VLOOKUP(B1463,'BANG LUONG 1'!$B$4:$AJ$55,8,0)</f>
        <v>B.02</v>
      </c>
      <c r="C1469" s="421">
        <v>7</v>
      </c>
      <c r="D1469" s="41"/>
    </row>
    <row r="1470" spans="1:7">
      <c r="A1470" s="421" t="s">
        <v>230</v>
      </c>
      <c r="B1470" s="412">
        <f>VLOOKUP(B1463,'BANG LUONG 1'!$B$4:$AJ$55,9,0)</f>
        <v>1</v>
      </c>
      <c r="C1470" s="421">
        <v>8</v>
      </c>
      <c r="D1470" s="41"/>
    </row>
    <row r="1471" spans="1:7">
      <c r="A1471" s="421" t="s">
        <v>538</v>
      </c>
      <c r="B1471" s="412">
        <f>VLOOKUP(B1463,'BANG LUONG 1'!$B$4:$AJ$55,11,0)</f>
        <v>4413750</v>
      </c>
      <c r="C1471" s="421">
        <v>9</v>
      </c>
      <c r="D1471" s="41"/>
    </row>
    <row r="1472" spans="1:7">
      <c r="A1472" s="421" t="s">
        <v>354</v>
      </c>
      <c r="B1472" s="412">
        <f>VLOOKUP(B1463,'BANG LUONG 1'!$B$4:$AJ$55,12,0)</f>
        <v>27</v>
      </c>
      <c r="C1472" s="421">
        <v>10</v>
      </c>
      <c r="D1472" s="41"/>
      <c r="E1472" s="972"/>
      <c r="F1472" s="973"/>
      <c r="G1472" s="973"/>
    </row>
    <row r="1473" spans="1:7">
      <c r="A1473" s="421" t="s">
        <v>534</v>
      </c>
      <c r="B1473" s="412">
        <f>VLOOKUP(B1463,'BANG LUONG 1'!$B$4:$AJ$55,13,0)</f>
        <v>4583509.615384615</v>
      </c>
      <c r="C1473" s="421">
        <v>11</v>
      </c>
      <c r="D1473" s="41"/>
      <c r="E1473" s="652"/>
      <c r="F1473" s="652"/>
      <c r="G1473" s="652"/>
    </row>
    <row r="1474" spans="1:7">
      <c r="A1474" s="421" t="s">
        <v>592</v>
      </c>
      <c r="B1474" s="412">
        <f>VLOOKUP(B1463,'BANG LUONG 1'!$B$4:$AJ$55,14,0)</f>
        <v>0</v>
      </c>
      <c r="C1474" s="421">
        <v>12</v>
      </c>
      <c r="D1474" s="41">
        <f>B1471/26*B1474</f>
        <v>0</v>
      </c>
      <c r="E1474" s="652"/>
      <c r="F1474" s="652"/>
      <c r="G1474" s="652"/>
    </row>
    <row r="1475" spans="1:7">
      <c r="A1475" s="421" t="s">
        <v>357</v>
      </c>
      <c r="B1475" s="412">
        <f>VLOOKUP(B1463,'BANG LUONG 1'!$B$4:$AJ$55,15,0)</f>
        <v>0</v>
      </c>
      <c r="C1475" s="421">
        <v>13</v>
      </c>
      <c r="D1475" s="41">
        <f>B1471/26/8*1.5*B1475</f>
        <v>0</v>
      </c>
      <c r="E1475" s="526"/>
      <c r="F1475" s="526"/>
      <c r="G1475" s="526"/>
    </row>
    <row r="1476" spans="1:7">
      <c r="A1476" s="421" t="s">
        <v>387</v>
      </c>
      <c r="B1476" s="412">
        <f>VLOOKUP(B1463,'BANG LUONG 1'!$B$4:$AJ$55,16,0)</f>
        <v>0</v>
      </c>
      <c r="C1476" s="421">
        <v>14</v>
      </c>
      <c r="D1476" s="41">
        <f>B1471/26/8*2*B1476</f>
        <v>0</v>
      </c>
      <c r="E1476" s="652"/>
      <c r="F1476" s="652"/>
      <c r="G1476" s="652"/>
    </row>
    <row r="1477" spans="1:7">
      <c r="A1477" s="421" t="s">
        <v>593</v>
      </c>
      <c r="B1477" s="412">
        <f>VLOOKUP(B1463,'BANG LUONG 1'!$B$4:$AJ$55,17,0)</f>
        <v>0</v>
      </c>
      <c r="C1477" s="421"/>
      <c r="D1477" s="41">
        <f>(B1471/26)*B1477</f>
        <v>0</v>
      </c>
      <c r="E1477" s="652"/>
      <c r="F1477" s="652"/>
      <c r="G1477" s="652"/>
    </row>
    <row r="1478" spans="1:7">
      <c r="A1478" s="421" t="s">
        <v>388</v>
      </c>
      <c r="B1478" s="412">
        <f>VLOOKUP(B1463,'BANG LUONG 1'!$B$4:$AJ$55,18,0)</f>
        <v>0</v>
      </c>
      <c r="C1478" s="421">
        <v>15</v>
      </c>
      <c r="D1478" s="41">
        <f>(B1471/26*B1478)*3</f>
        <v>0</v>
      </c>
      <c r="E1478" s="526"/>
      <c r="F1478" s="526"/>
      <c r="G1478" s="526"/>
    </row>
    <row r="1479" spans="1:7">
      <c r="A1479" s="421" t="s">
        <v>533</v>
      </c>
      <c r="B1479" s="412">
        <f>VLOOKUP(B1463,'BANG LUONG 1'!$B$4:$AJ$55,19,0)</f>
        <v>4583509.615384615</v>
      </c>
      <c r="C1479" s="183">
        <v>16</v>
      </c>
      <c r="D1479" s="185">
        <f>B1473+D1475+D1476+D1474+D1478+D1477</f>
        <v>4583509.615384615</v>
      </c>
      <c r="E1479" s="653"/>
      <c r="F1479" s="652"/>
      <c r="G1479" s="526"/>
    </row>
    <row r="1480" spans="1:7">
      <c r="A1480" s="421" t="s">
        <v>535</v>
      </c>
      <c r="B1480" s="412">
        <f>VLOOKUP(B1463,'BANG LUONG 1'!$B$4:$AJ$55,20,0)</f>
        <v>-4583509.615384615</v>
      </c>
      <c r="C1480" s="421">
        <v>17</v>
      </c>
      <c r="D1480" s="651"/>
      <c r="E1480" s="526"/>
      <c r="F1480" s="652"/>
      <c r="G1480" s="526"/>
    </row>
    <row r="1481" spans="1:7">
      <c r="A1481" s="421" t="s">
        <v>370</v>
      </c>
      <c r="B1481" s="412">
        <f>VLOOKUP(B1463,'BANG LUONG 1'!$B$4:$AJ$55,22,0)</f>
        <v>0</v>
      </c>
      <c r="C1481" s="421">
        <v>18</v>
      </c>
      <c r="D1481" s="41"/>
    </row>
    <row r="1482" spans="1:7">
      <c r="A1482" s="421" t="s">
        <v>371</v>
      </c>
      <c r="B1482" s="412">
        <f>VLOOKUP(B1463,'BANG LUONG 1'!$B$4:$AJ$55,23,0)</f>
        <v>300000</v>
      </c>
      <c r="C1482" s="421">
        <v>19</v>
      </c>
      <c r="D1482" s="41"/>
    </row>
    <row r="1483" spans="1:7">
      <c r="A1483" s="421" t="s">
        <v>560</v>
      </c>
      <c r="B1483" s="412">
        <f>VLOOKUP(B1463,'BANG LUONG 1'!$B$4:$AJ$55,24,0)</f>
        <v>0</v>
      </c>
      <c r="C1483" s="421">
        <v>22</v>
      </c>
      <c r="D1483" s="41"/>
    </row>
    <row r="1484" spans="1:7">
      <c r="A1484" s="183" t="s">
        <v>237</v>
      </c>
      <c r="B1484" s="415">
        <f>VLOOKUP(B1463,'BANG LUONG 1'!$B$4:$AJ$55,26,0)</f>
        <v>300000</v>
      </c>
      <c r="C1484" s="421">
        <v>24</v>
      </c>
      <c r="D1484" s="41"/>
    </row>
    <row r="1485" spans="1:7">
      <c r="A1485" s="421" t="s">
        <v>545</v>
      </c>
      <c r="B1485" s="412">
        <f>VLOOKUP(B1463,'BANG LUONG 1'!$B$4:$AJ$55,27,0)</f>
        <v>4000000</v>
      </c>
      <c r="C1485" s="421">
        <v>25</v>
      </c>
      <c r="D1485" s="41"/>
    </row>
    <row r="1486" spans="1:7">
      <c r="A1486" s="421" t="s">
        <v>544</v>
      </c>
      <c r="B1486" s="412">
        <f>VLOOKUP(B1463,'BANG LUONG 1'!$B$4:$AJ$55,28,0)</f>
        <v>480585</v>
      </c>
      <c r="C1486" s="421">
        <v>26</v>
      </c>
      <c r="D1486" s="41"/>
      <c r="E1486" s="525"/>
    </row>
    <row r="1487" spans="1:7">
      <c r="A1487" s="421" t="s">
        <v>713</v>
      </c>
      <c r="B1487" s="415">
        <f>VLOOKUP(B1463,'BANG LUONG 1'!$B$4:$AJ$55,32,0)</f>
        <v>0</v>
      </c>
      <c r="C1487" s="421"/>
      <c r="D1487" s="41"/>
    </row>
    <row r="1488" spans="1:7">
      <c r="A1488" s="421" t="s">
        <v>714</v>
      </c>
      <c r="B1488" s="415">
        <f>VLOOKUP(B1463,'BANG LUONG 1'!$B$4:$AJ$55,33,0)</f>
        <v>0</v>
      </c>
      <c r="C1488" s="421"/>
      <c r="D1488" s="41"/>
    </row>
    <row r="1489" spans="1:7">
      <c r="A1489" s="183" t="s">
        <v>707</v>
      </c>
      <c r="B1489" s="415">
        <f>VLOOKUP(B1463,'BANG LUONG 1'!$B$4:$AJ$55,34,0)</f>
        <v>0</v>
      </c>
      <c r="C1489" s="421"/>
      <c r="D1489" s="41"/>
      <c r="E1489" s="108" t="str">
        <f>B1464</f>
        <v>Trần Ngọc Sơn</v>
      </c>
    </row>
    <row r="1490" spans="1:7">
      <c r="A1490" s="183" t="s">
        <v>546</v>
      </c>
      <c r="B1490" s="415">
        <f>VLOOKUP(B1463,'BANG LUONG 1'!$B$4:$AJ$55,35,0)</f>
        <v>-4181000</v>
      </c>
      <c r="C1490" s="421"/>
      <c r="D1490" s="41"/>
    </row>
    <row r="1491" spans="1:7">
      <c r="A1491" s="183"/>
      <c r="B1491" s="412"/>
      <c r="C1491" s="421">
        <v>27</v>
      </c>
      <c r="D1491" s="185"/>
    </row>
    <row r="1492" spans="1:7">
      <c r="A1492" s="184" t="s">
        <v>549</v>
      </c>
      <c r="B1492" s="424">
        <f>'BANG LUONG 1'!$P$2</f>
        <v>43702</v>
      </c>
    </row>
    <row r="1493" spans="1:7">
      <c r="A1493" s="183" t="s">
        <v>1</v>
      </c>
      <c r="B1493" s="185" t="s">
        <v>144</v>
      </c>
      <c r="C1493" s="421">
        <v>1</v>
      </c>
      <c r="D1493" s="41"/>
    </row>
    <row r="1494" spans="1:7">
      <c r="A1494" s="183" t="s">
        <v>2</v>
      </c>
      <c r="B1494" s="185" t="str">
        <f>VLOOKUP($B1493,'BANG LUONG 1'!$B$5:$AB$47,C1494,0)</f>
        <v>Nguyễn Văn Tuấn</v>
      </c>
      <c r="C1494" s="421">
        <v>2</v>
      </c>
      <c r="D1494" s="41"/>
    </row>
    <row r="1495" spans="1:7">
      <c r="A1495" s="421" t="s">
        <v>3</v>
      </c>
      <c r="B1495" s="41" t="str">
        <f>VLOOKUP($B1493,'BANG LUONG 1'!$B$5:$AJ$47,C1495,0)</f>
        <v>Lái xe cơ giới</v>
      </c>
      <c r="C1495" s="421">
        <v>3</v>
      </c>
      <c r="D1495" s="41"/>
    </row>
    <row r="1496" spans="1:7">
      <c r="A1496" s="421" t="s">
        <v>376</v>
      </c>
      <c r="B1496" s="410">
        <f>VLOOKUP($B1493,'BANG LUONG 1'!$B$4:$AJ$55,4,0)</f>
        <v>43246</v>
      </c>
      <c r="C1496" s="421">
        <v>4</v>
      </c>
      <c r="D1496" s="41"/>
    </row>
    <row r="1497" spans="1:7">
      <c r="A1497" s="421" t="s">
        <v>698</v>
      </c>
      <c r="B1497" s="411">
        <f>VLOOKUP(B1493,'BANG LUONG 1'!$B$4:$AJ$55,6,0)</f>
        <v>0</v>
      </c>
      <c r="C1497" s="421">
        <v>5</v>
      </c>
      <c r="D1497" s="41"/>
    </row>
    <row r="1498" spans="1:7">
      <c r="A1498" s="421" t="s">
        <v>229</v>
      </c>
      <c r="B1498" s="412">
        <f>'thang luong moi'!$F$5</f>
        <v>4012500</v>
      </c>
      <c r="C1498" s="421">
        <v>6</v>
      </c>
      <c r="D1498" s="41"/>
    </row>
    <row r="1499" spans="1:7">
      <c r="A1499" s="421" t="s">
        <v>217</v>
      </c>
      <c r="B1499" s="412" t="str">
        <f>VLOOKUP(B1493,'BANG LUONG 1'!$B$4:$AJ$55,8,0)</f>
        <v>B.02</v>
      </c>
      <c r="C1499" s="421">
        <v>7</v>
      </c>
      <c r="D1499" s="41"/>
    </row>
    <row r="1500" spans="1:7">
      <c r="A1500" s="421" t="s">
        <v>230</v>
      </c>
      <c r="B1500" s="412">
        <f>VLOOKUP(B1493,'BANG LUONG 1'!$B$4:$AJ$55,9,0)</f>
        <v>1</v>
      </c>
      <c r="C1500" s="421">
        <v>8</v>
      </c>
      <c r="D1500" s="41"/>
    </row>
    <row r="1501" spans="1:7">
      <c r="A1501" s="421" t="s">
        <v>538</v>
      </c>
      <c r="B1501" s="412">
        <f>VLOOKUP(B1493,'BANG LUONG 1'!$B$4:$AJ$55,11,0)</f>
        <v>4413750</v>
      </c>
      <c r="C1501" s="421">
        <v>9</v>
      </c>
      <c r="D1501" s="41"/>
    </row>
    <row r="1502" spans="1:7">
      <c r="A1502" s="421" t="s">
        <v>354</v>
      </c>
      <c r="B1502" s="412">
        <f>VLOOKUP(B1493,'BANG LUONG 1'!$B$4:$AJ$55,12,0)</f>
        <v>27</v>
      </c>
      <c r="C1502" s="421">
        <v>10</v>
      </c>
      <c r="D1502" s="41"/>
      <c r="E1502" s="977"/>
      <c r="F1502" s="978"/>
      <c r="G1502" s="978"/>
    </row>
    <row r="1503" spans="1:7">
      <c r="A1503" s="421" t="s">
        <v>534</v>
      </c>
      <c r="B1503" s="412">
        <f>VLOOKUP(B1493,'BANG LUONG 1'!$B$4:$AJ$55,13,0)</f>
        <v>4583509.615384615</v>
      </c>
      <c r="C1503" s="421">
        <v>11</v>
      </c>
      <c r="D1503" s="41"/>
      <c r="E1503" s="521"/>
      <c r="F1503" s="521"/>
      <c r="G1503" s="521"/>
    </row>
    <row r="1504" spans="1:7">
      <c r="A1504" s="421" t="s">
        <v>592</v>
      </c>
      <c r="B1504" s="412">
        <f>VLOOKUP(B1493,'BANG LUONG 1'!$B$4:$AJ$55,14,0)</f>
        <v>0</v>
      </c>
      <c r="C1504" s="421">
        <v>12</v>
      </c>
      <c r="D1504" s="41">
        <f>B1501/26*B1504</f>
        <v>0</v>
      </c>
      <c r="E1504" s="521"/>
      <c r="F1504" s="521"/>
      <c r="G1504" s="521"/>
    </row>
    <row r="1505" spans="1:7">
      <c r="A1505" s="421" t="s">
        <v>357</v>
      </c>
      <c r="B1505" s="412">
        <f>VLOOKUP(B1493,'BANG LUONG 1'!$B$4:$AJ$55,15,0)</f>
        <v>0</v>
      </c>
      <c r="C1505" s="421">
        <v>13</v>
      </c>
      <c r="D1505" s="41">
        <f>B1501/26/8*1.5*B1505</f>
        <v>0</v>
      </c>
      <c r="E1505" s="183"/>
      <c r="F1505" s="183"/>
      <c r="G1505" s="183"/>
    </row>
    <row r="1506" spans="1:7">
      <c r="A1506" s="421" t="s">
        <v>387</v>
      </c>
      <c r="B1506" s="412">
        <f>VLOOKUP(B1493,'BANG LUONG 1'!$B$4:$AJ$55,16,0)</f>
        <v>0</v>
      </c>
      <c r="C1506" s="421">
        <v>14</v>
      </c>
      <c r="D1506" s="41">
        <f>B1501/26/8*2*B1506</f>
        <v>0</v>
      </c>
      <c r="E1506" s="521"/>
      <c r="F1506" s="521"/>
      <c r="G1506" s="521"/>
    </row>
    <row r="1507" spans="1:7">
      <c r="A1507" s="421" t="s">
        <v>593</v>
      </c>
      <c r="B1507" s="412">
        <f>VLOOKUP(B1493,'BANG LUONG 1'!$B$4:$AJ$55,17,0)</f>
        <v>0</v>
      </c>
      <c r="C1507" s="421"/>
      <c r="D1507" s="41">
        <f>(B1501/26)*B1507</f>
        <v>0</v>
      </c>
      <c r="E1507" s="521"/>
      <c r="F1507" s="521"/>
      <c r="G1507" s="521"/>
    </row>
    <row r="1508" spans="1:7">
      <c r="A1508" s="421" t="s">
        <v>388</v>
      </c>
      <c r="B1508" s="412">
        <f>VLOOKUP(B1493,'BANG LUONG 1'!$B$4:$AJ$55,18,0)</f>
        <v>0</v>
      </c>
      <c r="C1508" s="421">
        <v>15</v>
      </c>
      <c r="D1508" s="41">
        <f>(B1501/26*B1508)*3</f>
        <v>0</v>
      </c>
      <c r="E1508" s="183"/>
      <c r="F1508" s="183"/>
      <c r="G1508" s="183"/>
    </row>
    <row r="1509" spans="1:7">
      <c r="A1509" s="421" t="s">
        <v>533</v>
      </c>
      <c r="B1509" s="412">
        <f>VLOOKUP(B1493,'BANG LUONG 1'!$B$4:$AJ$55,19,0)</f>
        <v>4583509.615384615</v>
      </c>
      <c r="C1509" s="183">
        <v>16</v>
      </c>
      <c r="D1509" s="185">
        <f>B1503+D1505+D1506+D1504+D1508+D1507</f>
        <v>4583509.615384615</v>
      </c>
      <c r="E1509" s="522"/>
      <c r="F1509" s="521"/>
      <c r="G1509" s="183"/>
    </row>
    <row r="1510" spans="1:7">
      <c r="A1510" s="421" t="s">
        <v>535</v>
      </c>
      <c r="B1510" s="412">
        <f>VLOOKUP(B1493,'BANG LUONG 1'!$B$4:$AJ$55,20,0)</f>
        <v>-4583509.615384615</v>
      </c>
      <c r="C1510" s="421">
        <v>17</v>
      </c>
      <c r="D1510" s="41"/>
      <c r="E1510" s="183"/>
      <c r="F1510" s="521"/>
      <c r="G1510" s="183"/>
    </row>
    <row r="1511" spans="1:7">
      <c r="A1511" s="421" t="s">
        <v>370</v>
      </c>
      <c r="B1511" s="412">
        <f>VLOOKUP(B1493,'BANG LUONG 1'!$B$4:$AJ$55,22,0)</f>
        <v>0</v>
      </c>
      <c r="C1511" s="421">
        <v>18</v>
      </c>
      <c r="D1511" s="41"/>
    </row>
    <row r="1512" spans="1:7">
      <c r="A1512" s="421" t="s">
        <v>371</v>
      </c>
      <c r="B1512" s="412">
        <f>VLOOKUP(B1493,'BANG LUONG 1'!$B$4:$AJ$55,23,0)</f>
        <v>300000</v>
      </c>
      <c r="C1512" s="421">
        <v>19</v>
      </c>
      <c r="D1512" s="41"/>
    </row>
    <row r="1513" spans="1:7">
      <c r="A1513" s="421" t="s">
        <v>560</v>
      </c>
      <c r="B1513" s="412">
        <f>VLOOKUP(B1493,'BANG LUONG 1'!$B$4:$AJ$55,24,0)</f>
        <v>0</v>
      </c>
      <c r="C1513" s="421">
        <v>22</v>
      </c>
      <c r="D1513" s="41"/>
    </row>
    <row r="1514" spans="1:7">
      <c r="A1514" s="183" t="s">
        <v>237</v>
      </c>
      <c r="B1514" s="415">
        <f>VLOOKUP(B1493,'BANG LUONG 1'!$B$4:$AJ$55,26,0)</f>
        <v>300000</v>
      </c>
      <c r="C1514" s="421">
        <v>24</v>
      </c>
      <c r="D1514" s="41"/>
    </row>
    <row r="1515" spans="1:7">
      <c r="A1515" s="421" t="s">
        <v>545</v>
      </c>
      <c r="B1515" s="412">
        <f>VLOOKUP(B1493,'BANG LUONG 1'!$B$4:$AJ$55,27,0)</f>
        <v>3000000</v>
      </c>
      <c r="C1515" s="421">
        <v>25</v>
      </c>
      <c r="D1515" s="41"/>
    </row>
    <row r="1516" spans="1:7">
      <c r="A1516" s="421" t="s">
        <v>544</v>
      </c>
      <c r="B1516" s="412">
        <f>VLOOKUP(B1493,'BANG LUONG 1'!$B$4:$AJ$55,28,0)</f>
        <v>480585</v>
      </c>
      <c r="C1516" s="421">
        <v>26</v>
      </c>
      <c r="D1516" s="41"/>
      <c r="E1516" s="525"/>
    </row>
    <row r="1517" spans="1:7">
      <c r="A1517" s="421" t="s">
        <v>713</v>
      </c>
      <c r="B1517" s="415">
        <f>VLOOKUP(B1493,'BANG LUONG 1'!$B$4:$AJ$55,32,0)</f>
        <v>0</v>
      </c>
      <c r="C1517" s="421"/>
      <c r="D1517" s="41"/>
    </row>
    <row r="1518" spans="1:7">
      <c r="A1518" s="421" t="s">
        <v>714</v>
      </c>
      <c r="B1518" s="415">
        <f>VLOOKUP(B1493,'BANG LUONG 1'!$B$4:$AJ$55,33,0)</f>
        <v>0</v>
      </c>
      <c r="C1518" s="421"/>
      <c r="D1518" s="41"/>
    </row>
    <row r="1519" spans="1:7">
      <c r="A1519" s="183" t="s">
        <v>707</v>
      </c>
      <c r="B1519" s="415">
        <f>VLOOKUP(B1493,'BANG LUONG 1'!$B$4:$AJ$55,34,0)</f>
        <v>0</v>
      </c>
      <c r="C1519" s="421"/>
      <c r="D1519" s="41"/>
      <c r="E1519" s="108" t="str">
        <f>B1494</f>
        <v>Nguyễn Văn Tuấn</v>
      </c>
    </row>
    <row r="1520" spans="1:7">
      <c r="A1520" s="183" t="s">
        <v>546</v>
      </c>
      <c r="B1520" s="415">
        <f>VLOOKUP(B1493,'BANG LUONG 1'!$B$4:$AJ$55,35,0)</f>
        <v>-3181000</v>
      </c>
      <c r="C1520" s="421"/>
      <c r="D1520" s="41"/>
    </row>
    <row r="1521" spans="1:4">
      <c r="A1521" s="184" t="s">
        <v>549</v>
      </c>
      <c r="B1521" s="424">
        <f>'BANG LUONG 1'!$P$2</f>
        <v>43702</v>
      </c>
    </row>
    <row r="1522" spans="1:4">
      <c r="A1522" s="183" t="s">
        <v>1</v>
      </c>
      <c r="B1522" s="185" t="s">
        <v>168</v>
      </c>
      <c r="C1522" s="421">
        <v>1</v>
      </c>
      <c r="D1522" s="41"/>
    </row>
    <row r="1523" spans="1:4">
      <c r="A1523" s="183" t="s">
        <v>2</v>
      </c>
      <c r="B1523" s="185" t="str">
        <f>VLOOKUP($B1522,'BANG LUONG 1'!$B$5:$AB$47,C1523,0)</f>
        <v>Nguyễn Văn Chương</v>
      </c>
      <c r="C1523" s="421">
        <v>2</v>
      </c>
      <c r="D1523" s="41"/>
    </row>
    <row r="1524" spans="1:4">
      <c r="A1524" s="421" t="s">
        <v>3</v>
      </c>
      <c r="B1524" s="41" t="str">
        <f>VLOOKUP($B1522,'BANG LUONG 1'!$B$5:$AJ$47,C1524,0)</f>
        <v xml:space="preserve">Công nhân </v>
      </c>
      <c r="C1524" s="421">
        <v>3</v>
      </c>
      <c r="D1524" s="41"/>
    </row>
    <row r="1525" spans="1:4">
      <c r="A1525" s="421" t="s">
        <v>376</v>
      </c>
      <c r="B1525" s="410">
        <f>VLOOKUP($B1522,'BANG LUONG 1'!$B$4:$AJ$55,4,0)</f>
        <v>43697</v>
      </c>
      <c r="C1525" s="421">
        <v>4</v>
      </c>
      <c r="D1525" s="41"/>
    </row>
    <row r="1526" spans="1:4">
      <c r="A1526" s="421" t="s">
        <v>698</v>
      </c>
      <c r="B1526" s="411">
        <f>VLOOKUP(B1522,'BANG LUONG 1'!$B$4:$AJ$55,6,0)</f>
        <v>0</v>
      </c>
      <c r="C1526" s="421">
        <v>5</v>
      </c>
      <c r="D1526" s="41"/>
    </row>
    <row r="1527" spans="1:4">
      <c r="A1527" s="421" t="s">
        <v>229</v>
      </c>
      <c r="B1527" s="412">
        <f>'thang luong moi'!$F$5</f>
        <v>4012500</v>
      </c>
      <c r="C1527" s="421">
        <v>6</v>
      </c>
      <c r="D1527" s="41"/>
    </row>
    <row r="1528" spans="1:4">
      <c r="A1528" s="421" t="s">
        <v>217</v>
      </c>
      <c r="B1528" s="412" t="str">
        <f>VLOOKUP(B1522,'BANG LUONG 1'!$B$4:$AJ$55,8,0)</f>
        <v>B.05</v>
      </c>
      <c r="C1528" s="421">
        <v>7</v>
      </c>
      <c r="D1528" s="41"/>
    </row>
    <row r="1529" spans="1:4">
      <c r="A1529" s="421" t="s">
        <v>230</v>
      </c>
      <c r="B1529" s="412">
        <f>VLOOKUP(B1522,'BANG LUONG 1'!$B$4:$AJ$55,9,0)</f>
        <v>1</v>
      </c>
      <c r="C1529" s="421">
        <v>8</v>
      </c>
      <c r="D1529" s="41"/>
    </row>
    <row r="1530" spans="1:4">
      <c r="A1530" s="421" t="s">
        <v>538</v>
      </c>
      <c r="B1530" s="412">
        <f>VLOOKUP(B1522,'BANG LUONG 1'!$B$4:$AJ$55,11,0)</f>
        <v>4213125</v>
      </c>
      <c r="C1530" s="421">
        <v>9</v>
      </c>
      <c r="D1530" s="41"/>
    </row>
    <row r="1531" spans="1:4">
      <c r="A1531" s="421" t="s">
        <v>354</v>
      </c>
      <c r="B1531" s="412">
        <f>VLOOKUP(B1522,'BANG LUONG 1'!$B$4:$AJ$55,12,0)</f>
        <v>27</v>
      </c>
      <c r="C1531" s="421">
        <v>10</v>
      </c>
      <c r="D1531" s="41"/>
    </row>
    <row r="1532" spans="1:4">
      <c r="A1532" s="421" t="s">
        <v>534</v>
      </c>
      <c r="B1532" s="412">
        <f>VLOOKUP(B1522,'BANG LUONG 1'!$B$4:$AJ$55,13,0)</f>
        <v>4375168.269230769</v>
      </c>
      <c r="C1532" s="421">
        <v>11</v>
      </c>
      <c r="D1532" s="41"/>
    </row>
    <row r="1533" spans="1:4">
      <c r="A1533" s="421" t="s">
        <v>592</v>
      </c>
      <c r="B1533" s="412">
        <f>VLOOKUP(B1522,'BANG LUONG 1'!$B$4:$AJ$55,14,0)</f>
        <v>0</v>
      </c>
      <c r="C1533" s="421">
        <v>12</v>
      </c>
      <c r="D1533" s="41">
        <f>B1530/26*B1533</f>
        <v>0</v>
      </c>
    </row>
    <row r="1534" spans="1:4">
      <c r="A1534" s="421" t="s">
        <v>357</v>
      </c>
      <c r="B1534" s="412">
        <f>VLOOKUP(B1522,'BANG LUONG 1'!$B$4:$AJ$55,15,0)</f>
        <v>0</v>
      </c>
      <c r="C1534" s="421">
        <v>13</v>
      </c>
      <c r="D1534" s="41">
        <f>B1530/26/8*1.5*B1534</f>
        <v>0</v>
      </c>
    </row>
    <row r="1535" spans="1:4">
      <c r="A1535" s="421" t="s">
        <v>387</v>
      </c>
      <c r="B1535" s="412">
        <f>VLOOKUP(B1522,'BANG LUONG 1'!$B$4:$AJ$55,16,0)</f>
        <v>0</v>
      </c>
      <c r="C1535" s="421">
        <v>14</v>
      </c>
      <c r="D1535" s="41">
        <f>B1530/26/8*2*B1535</f>
        <v>0</v>
      </c>
    </row>
    <row r="1536" spans="1:4">
      <c r="A1536" s="421" t="s">
        <v>593</v>
      </c>
      <c r="B1536" s="412">
        <f>VLOOKUP(B1522,'BANG LUONG 1'!$B$4:$AJ$55,17,0)</f>
        <v>0</v>
      </c>
      <c r="C1536" s="421"/>
      <c r="D1536" s="41">
        <f>(B1530/26)*B1536</f>
        <v>0</v>
      </c>
    </row>
    <row r="1537" spans="1:5">
      <c r="A1537" s="421" t="s">
        <v>388</v>
      </c>
      <c r="B1537" s="412">
        <f>VLOOKUP(B1522,'BANG LUONG 1'!$B$4:$AJ$55,18,0)</f>
        <v>0</v>
      </c>
      <c r="C1537" s="421">
        <v>15</v>
      </c>
      <c r="D1537" s="41">
        <f>(B1530/26*B1537)*3</f>
        <v>0</v>
      </c>
    </row>
    <row r="1538" spans="1:5">
      <c r="A1538" s="421" t="s">
        <v>533</v>
      </c>
      <c r="B1538" s="412">
        <f>VLOOKUP(B1522,'BANG LUONG 1'!$B$4:$AJ$55,19,0)</f>
        <v>4375168.269230769</v>
      </c>
      <c r="C1538" s="183">
        <v>16</v>
      </c>
      <c r="D1538" s="185">
        <f>B1532+D1534+D1535+D1533+D1537+D1536</f>
        <v>4375168.269230769</v>
      </c>
      <c r="E1538" s="108"/>
    </row>
    <row r="1539" spans="1:5">
      <c r="A1539" s="421" t="s">
        <v>535</v>
      </c>
      <c r="B1539" s="412">
        <f>VLOOKUP(B1522,'BANG LUONG 1'!$B$4:$AJ$55,20,0)</f>
        <v>-4375168.269230769</v>
      </c>
      <c r="C1539" s="421">
        <v>17</v>
      </c>
      <c r="D1539" s="41"/>
    </row>
    <row r="1540" spans="1:5">
      <c r="A1540" s="421" t="s">
        <v>370</v>
      </c>
      <c r="B1540" s="412">
        <f>VLOOKUP(B1522,'BANG LUONG 1'!$B$4:$AJ$55,22,0)</f>
        <v>0</v>
      </c>
      <c r="C1540" s="421">
        <v>18</v>
      </c>
      <c r="D1540" s="41"/>
    </row>
    <row r="1541" spans="1:5">
      <c r="A1541" s="421" t="s">
        <v>371</v>
      </c>
      <c r="B1541" s="412">
        <f>VLOOKUP(B1522,'BANG LUONG 1'!$B$4:$AJ$55,23,0)</f>
        <v>300000</v>
      </c>
      <c r="C1541" s="421">
        <v>19</v>
      </c>
      <c r="D1541" s="41"/>
    </row>
    <row r="1542" spans="1:5">
      <c r="A1542" s="421" t="s">
        <v>560</v>
      </c>
      <c r="B1542" s="412">
        <f>VLOOKUP(B1522,'BANG LUONG 1'!$B$4:$AJ$55,24,0)</f>
        <v>0</v>
      </c>
      <c r="C1542" s="421">
        <v>22</v>
      </c>
      <c r="D1542" s="41"/>
    </row>
    <row r="1543" spans="1:5">
      <c r="A1543" s="183" t="s">
        <v>237</v>
      </c>
      <c r="B1543" s="415">
        <f>VLOOKUP(B1522,'BANG LUONG 1'!$B$4:$AJ$55,26,0)</f>
        <v>300000</v>
      </c>
      <c r="C1543" s="421">
        <v>24</v>
      </c>
      <c r="D1543" s="41"/>
    </row>
    <row r="1544" spans="1:5">
      <c r="A1544" s="421" t="s">
        <v>545</v>
      </c>
      <c r="B1544" s="412">
        <f>VLOOKUP(B1522,'BANG LUONG 1'!$B$4:$AJ$55,27,0)</f>
        <v>0</v>
      </c>
      <c r="C1544" s="421">
        <v>25</v>
      </c>
      <c r="D1544" s="41"/>
    </row>
    <row r="1545" spans="1:5">
      <c r="A1545" s="421" t="s">
        <v>544</v>
      </c>
      <c r="B1545" s="412">
        <f>VLOOKUP(B1522,'BANG LUONG 1'!$B$4:$AJ$55,28,0)</f>
        <v>0</v>
      </c>
      <c r="C1545" s="421">
        <v>26</v>
      </c>
      <c r="D1545" s="41"/>
    </row>
    <row r="1546" spans="1:5">
      <c r="A1546" s="421" t="s">
        <v>713</v>
      </c>
      <c r="B1546" s="415">
        <f>VLOOKUP(B1522,'BANG LUONG 1'!$B$4:$AJ$55,32,0)</f>
        <v>0</v>
      </c>
      <c r="C1546" s="421"/>
      <c r="D1546" s="41"/>
    </row>
    <row r="1547" spans="1:5">
      <c r="A1547" s="421" t="s">
        <v>714</v>
      </c>
      <c r="B1547" s="415">
        <f>VLOOKUP(B1522,'BANG LUONG 1'!$B$4:$AJ$55,33,0)</f>
        <v>0</v>
      </c>
      <c r="C1547" s="421"/>
      <c r="D1547" s="41"/>
    </row>
    <row r="1548" spans="1:5">
      <c r="A1548" s="183" t="s">
        <v>707</v>
      </c>
      <c r="B1548" s="415">
        <f>VLOOKUP(B1522,'BANG LUONG 1'!$B$4:$AJ$55,34,0)</f>
        <v>0</v>
      </c>
      <c r="C1548" s="421"/>
      <c r="D1548" s="41"/>
      <c r="E1548" s="108" t="str">
        <f>B1523</f>
        <v>Nguyễn Văn Chương</v>
      </c>
    </row>
    <row r="1549" spans="1:5">
      <c r="A1549" s="183" t="s">
        <v>546</v>
      </c>
      <c r="B1549" s="415">
        <f>VLOOKUP(B1522,'BANG LUONG 1'!$B$4:$AJ$55,35,0)</f>
        <v>300000</v>
      </c>
      <c r="C1549" s="421"/>
      <c r="D1549" s="41"/>
    </row>
    <row r="1550" spans="1:5">
      <c r="A1550" s="183"/>
      <c r="B1550" s="412"/>
      <c r="C1550" s="421">
        <v>27</v>
      </c>
      <c r="D1550" s="185"/>
    </row>
    <row r="1551" spans="1:5">
      <c r="A1551" s="184" t="s">
        <v>549</v>
      </c>
      <c r="B1551" s="424">
        <f>'BANG LUONG 1'!$P$2</f>
        <v>43702</v>
      </c>
    </row>
    <row r="1552" spans="1:5">
      <c r="A1552" s="183" t="s">
        <v>1</v>
      </c>
      <c r="B1552" s="185" t="s">
        <v>144</v>
      </c>
      <c r="C1552" s="421">
        <v>1</v>
      </c>
      <c r="D1552" s="41"/>
    </row>
    <row r="1553" spans="1:5">
      <c r="A1553" s="183" t="s">
        <v>2</v>
      </c>
      <c r="B1553" s="185" t="str">
        <f>VLOOKUP($B1552,'BANG LUONG 1'!$B$5:$AB$47,C1553,0)</f>
        <v>Nguyễn Văn Tuấn</v>
      </c>
      <c r="C1553" s="421">
        <v>2</v>
      </c>
      <c r="D1553" s="41"/>
    </row>
    <row r="1554" spans="1:5">
      <c r="A1554" s="421" t="s">
        <v>3</v>
      </c>
      <c r="B1554" s="41" t="str">
        <f>VLOOKUP($B1552,'BANG LUONG 1'!$B$5:$AJ$47,C1554,0)</f>
        <v>Lái xe cơ giới</v>
      </c>
      <c r="C1554" s="421">
        <v>3</v>
      </c>
      <c r="D1554" s="41"/>
    </row>
    <row r="1555" spans="1:5">
      <c r="A1555" s="421" t="s">
        <v>376</v>
      </c>
      <c r="B1555" s="410">
        <f>VLOOKUP($B1552,'BANG LUONG 1'!$B$4:$AJ$55,4,0)</f>
        <v>43246</v>
      </c>
      <c r="C1555" s="421">
        <v>4</v>
      </c>
      <c r="D1555" s="41"/>
    </row>
    <row r="1556" spans="1:5">
      <c r="A1556" s="421" t="s">
        <v>698</v>
      </c>
      <c r="B1556" s="411">
        <f>VLOOKUP(B1552,'BANG LUONG 1'!$B$4:$AJ$55,6,0)</f>
        <v>0</v>
      </c>
      <c r="C1556" s="421">
        <v>5</v>
      </c>
      <c r="D1556" s="41"/>
    </row>
    <row r="1557" spans="1:5">
      <c r="A1557" s="421" t="s">
        <v>229</v>
      </c>
      <c r="B1557" s="412">
        <f>'thang luong moi'!$F$5</f>
        <v>4012500</v>
      </c>
      <c r="C1557" s="421">
        <v>6</v>
      </c>
      <c r="D1557" s="41"/>
    </row>
    <row r="1558" spans="1:5">
      <c r="A1558" s="421" t="s">
        <v>217</v>
      </c>
      <c r="B1558" s="412" t="str">
        <f>VLOOKUP(B1552,'BANG LUONG 1'!$B$4:$AJ$55,8,0)</f>
        <v>B.02</v>
      </c>
      <c r="C1558" s="421">
        <v>7</v>
      </c>
      <c r="D1558" s="41"/>
    </row>
    <row r="1559" spans="1:5">
      <c r="A1559" s="421" t="s">
        <v>230</v>
      </c>
      <c r="B1559" s="412">
        <f>VLOOKUP(B1552,'BANG LUONG 1'!$B$4:$AJ$55,9,0)</f>
        <v>1</v>
      </c>
      <c r="C1559" s="421">
        <v>8</v>
      </c>
      <c r="D1559" s="41"/>
    </row>
    <row r="1560" spans="1:5">
      <c r="A1560" s="421" t="s">
        <v>538</v>
      </c>
      <c r="B1560" s="412">
        <f>VLOOKUP(B1552,'BANG LUONG 1'!$B$4:$AJ$55,11,0)</f>
        <v>4413750</v>
      </c>
      <c r="C1560" s="421">
        <v>9</v>
      </c>
      <c r="D1560" s="41"/>
    </row>
    <row r="1561" spans="1:5">
      <c r="A1561" s="421" t="s">
        <v>354</v>
      </c>
      <c r="B1561" s="412">
        <f>VLOOKUP(B1552,'BANG LUONG 1'!$B$4:$AJ$55,12,0)</f>
        <v>27</v>
      </c>
      <c r="C1561" s="421">
        <v>10</v>
      </c>
      <c r="D1561" s="41"/>
    </row>
    <row r="1562" spans="1:5">
      <c r="A1562" s="421" t="s">
        <v>534</v>
      </c>
      <c r="B1562" s="412">
        <f>VLOOKUP(B1552,'BANG LUONG 1'!$B$4:$AJ$55,13,0)</f>
        <v>4583509.615384615</v>
      </c>
      <c r="C1562" s="421">
        <v>11</v>
      </c>
      <c r="D1562" s="41"/>
    </row>
    <row r="1563" spans="1:5">
      <c r="A1563" s="421" t="s">
        <v>592</v>
      </c>
      <c r="B1563" s="412">
        <f>VLOOKUP(B1552,'BANG LUONG 1'!$B$4:$AJ$55,14,0)</f>
        <v>0</v>
      </c>
      <c r="C1563" s="421">
        <v>12</v>
      </c>
      <c r="D1563" s="41">
        <f>B1560/26*B1563</f>
        <v>0</v>
      </c>
    </row>
    <row r="1564" spans="1:5">
      <c r="A1564" s="421" t="s">
        <v>357</v>
      </c>
      <c r="B1564" s="412">
        <f>VLOOKUP(B1552,'BANG LUONG 1'!$B$4:$AJ$55,15,0)</f>
        <v>0</v>
      </c>
      <c r="C1564" s="421">
        <v>13</v>
      </c>
      <c r="D1564" s="41">
        <f>B1560/26/8*1.5*B1564</f>
        <v>0</v>
      </c>
    </row>
    <row r="1565" spans="1:5">
      <c r="A1565" s="421" t="s">
        <v>387</v>
      </c>
      <c r="B1565" s="412">
        <f>VLOOKUP(B1552,'BANG LUONG 1'!$B$4:$AJ$55,16,0)</f>
        <v>0</v>
      </c>
      <c r="C1565" s="421">
        <v>14</v>
      </c>
      <c r="D1565" s="41">
        <f>B1560/26/8*2*B1565</f>
        <v>0</v>
      </c>
    </row>
    <row r="1566" spans="1:5">
      <c r="A1566" s="421" t="s">
        <v>593</v>
      </c>
      <c r="B1566" s="412">
        <f>VLOOKUP(B1552,'BANG LUONG 1'!$B$4:$AJ$55,17,0)</f>
        <v>0</v>
      </c>
      <c r="C1566" s="421"/>
      <c r="D1566" s="41">
        <f>(B1560/26)*B1566</f>
        <v>0</v>
      </c>
    </row>
    <row r="1567" spans="1:5">
      <c r="A1567" s="421" t="s">
        <v>388</v>
      </c>
      <c r="B1567" s="412">
        <f>VLOOKUP(B1552,'BANG LUONG 1'!$B$4:$AJ$55,18,0)</f>
        <v>0</v>
      </c>
      <c r="C1567" s="421">
        <v>15</v>
      </c>
      <c r="D1567" s="41">
        <f>(B1560/26*B1567)*3</f>
        <v>0</v>
      </c>
    </row>
    <row r="1568" spans="1:5">
      <c r="A1568" s="421" t="s">
        <v>533</v>
      </c>
      <c r="B1568" s="412">
        <f>VLOOKUP(B1552,'BANG LUONG 1'!$B$4:$AJ$55,19,0)</f>
        <v>4583509.615384615</v>
      </c>
      <c r="C1568" s="183">
        <v>16</v>
      </c>
      <c r="D1568" s="185">
        <f>B1562+D1564+D1565+D1563+D1567+D1566</f>
        <v>4583509.615384615</v>
      </c>
      <c r="E1568" s="108"/>
    </row>
    <row r="1569" spans="1:5">
      <c r="A1569" s="421" t="s">
        <v>535</v>
      </c>
      <c r="B1569" s="412">
        <f>VLOOKUP(B1552,'BANG LUONG 1'!$B$4:$AJ$55,20,0)</f>
        <v>-4583509.615384615</v>
      </c>
      <c r="C1569" s="421">
        <v>17</v>
      </c>
      <c r="D1569" s="41"/>
    </row>
    <row r="1570" spans="1:5">
      <c r="A1570" s="421" t="s">
        <v>370</v>
      </c>
      <c r="B1570" s="412">
        <f>VLOOKUP(B1552,'BANG LUONG 1'!$B$4:$AJ$55,22,0)</f>
        <v>0</v>
      </c>
      <c r="C1570" s="421">
        <v>18</v>
      </c>
      <c r="D1570" s="41"/>
    </row>
    <row r="1571" spans="1:5">
      <c r="A1571" s="421" t="s">
        <v>371</v>
      </c>
      <c r="B1571" s="412">
        <f>VLOOKUP(B1552,'BANG LUONG 1'!$B$4:$AJ$55,23,0)</f>
        <v>300000</v>
      </c>
      <c r="C1571" s="421">
        <v>19</v>
      </c>
      <c r="D1571" s="41"/>
    </row>
    <row r="1572" spans="1:5">
      <c r="A1572" s="421" t="s">
        <v>560</v>
      </c>
      <c r="B1572" s="412">
        <f>VLOOKUP(B1552,'BANG LUONG 1'!$B$4:$AJ$55,24,0)</f>
        <v>0</v>
      </c>
      <c r="C1572" s="421">
        <v>22</v>
      </c>
      <c r="D1572" s="41"/>
    </row>
    <row r="1573" spans="1:5">
      <c r="A1573" s="183" t="s">
        <v>237</v>
      </c>
      <c r="B1573" s="415">
        <f>VLOOKUP(B1552,'BANG LUONG 1'!$B$4:$AJ$55,26,0)</f>
        <v>300000</v>
      </c>
      <c r="C1573" s="421">
        <v>24</v>
      </c>
      <c r="D1573" s="41"/>
    </row>
    <row r="1574" spans="1:5">
      <c r="A1574" s="421" t="s">
        <v>545</v>
      </c>
      <c r="B1574" s="412">
        <f>VLOOKUP(B1552,'BANG LUONG 1'!$B$4:$AJ$55,27,0)</f>
        <v>3000000</v>
      </c>
      <c r="C1574" s="421">
        <v>25</v>
      </c>
      <c r="D1574" s="41"/>
    </row>
    <row r="1575" spans="1:5">
      <c r="A1575" s="421" t="s">
        <v>544</v>
      </c>
      <c r="B1575" s="412">
        <f>VLOOKUP(B1552,'BANG LUONG 1'!$B$4:$AJ$55,28,0)</f>
        <v>480585</v>
      </c>
      <c r="C1575" s="421">
        <v>26</v>
      </c>
      <c r="D1575" s="41"/>
    </row>
    <row r="1576" spans="1:5">
      <c r="A1576" s="421" t="s">
        <v>713</v>
      </c>
      <c r="B1576" s="415">
        <f>VLOOKUP(B1552,'BANG LUONG 1'!$B$4:$AJ$55,32,0)</f>
        <v>0</v>
      </c>
      <c r="C1576" s="421"/>
      <c r="D1576" s="41"/>
    </row>
    <row r="1577" spans="1:5">
      <c r="A1577" s="421" t="s">
        <v>714</v>
      </c>
      <c r="B1577" s="415">
        <f>VLOOKUP(B1552,'BANG LUONG 1'!$B$4:$AJ$55,33,0)</f>
        <v>0</v>
      </c>
      <c r="C1577" s="421"/>
      <c r="D1577" s="41"/>
    </row>
    <row r="1578" spans="1:5">
      <c r="A1578" s="183" t="s">
        <v>707</v>
      </c>
      <c r="B1578" s="415">
        <f>VLOOKUP(B1552,'BANG LUONG 1'!$B$4:$AJ$55,34,0)</f>
        <v>0</v>
      </c>
      <c r="C1578" s="421"/>
      <c r="D1578" s="41"/>
      <c r="E1578" s="108" t="str">
        <f>B1553</f>
        <v>Nguyễn Văn Tuấn</v>
      </c>
    </row>
    <row r="1579" spans="1:5">
      <c r="A1579" s="183" t="s">
        <v>546</v>
      </c>
      <c r="B1579" s="415">
        <f>VLOOKUP(B1552,'BANG LUONG 1'!$B$4:$AJ$55,35,0)</f>
        <v>-3181000</v>
      </c>
      <c r="C1579" s="421"/>
      <c r="D1579" s="41"/>
    </row>
    <row r="1580" spans="1:5">
      <c r="A1580" s="183"/>
      <c r="B1580" s="412"/>
      <c r="C1580" s="421">
        <v>27</v>
      </c>
      <c r="D1580" s="185"/>
    </row>
    <row r="1581" spans="1:5">
      <c r="A1581" s="184" t="s">
        <v>549</v>
      </c>
      <c r="B1581" s="424">
        <f>'BANG LUONG 1'!$P$2</f>
        <v>43702</v>
      </c>
    </row>
    <row r="1582" spans="1:5">
      <c r="A1582" s="183" t="s">
        <v>1</v>
      </c>
      <c r="B1582" s="185" t="s">
        <v>145</v>
      </c>
      <c r="C1582" s="421">
        <v>1</v>
      </c>
      <c r="D1582" s="41"/>
    </row>
    <row r="1583" spans="1:5">
      <c r="A1583" s="183" t="s">
        <v>2</v>
      </c>
      <c r="B1583" s="185" t="str">
        <f>VLOOKUP($B1582,'BANG LUONG 1'!$B$5:$AB$47,C1583,0)</f>
        <v>Hà Thanh Truyền</v>
      </c>
      <c r="C1583" s="421">
        <v>2</v>
      </c>
      <c r="D1583" s="41"/>
    </row>
    <row r="1584" spans="1:5">
      <c r="A1584" s="421" t="s">
        <v>3</v>
      </c>
      <c r="B1584" s="41" t="str">
        <f>VLOOKUP($B1582,'BANG LUONG 1'!$B$5:$AJ$47,C1584,0)</f>
        <v>Lái xe cơ giới</v>
      </c>
      <c r="C1584" s="421">
        <v>3</v>
      </c>
      <c r="D1584" s="41"/>
    </row>
    <row r="1585" spans="1:5">
      <c r="A1585" s="421" t="s">
        <v>376</v>
      </c>
      <c r="B1585" s="410">
        <f>VLOOKUP($B1582,'BANG LUONG 1'!$B$4:$AJ$55,4,0)</f>
        <v>42789</v>
      </c>
      <c r="C1585" s="421">
        <v>4</v>
      </c>
      <c r="D1585" s="41"/>
    </row>
    <row r="1586" spans="1:5">
      <c r="A1586" s="421" t="s">
        <v>698</v>
      </c>
      <c r="B1586" s="411">
        <f>VLOOKUP(B1582,'BANG LUONG 1'!$B$4:$AJ$55,6,0)</f>
        <v>0</v>
      </c>
      <c r="C1586" s="421">
        <v>5</v>
      </c>
      <c r="D1586" s="41"/>
    </row>
    <row r="1587" spans="1:5">
      <c r="A1587" s="421" t="s">
        <v>229</v>
      </c>
      <c r="B1587" s="412">
        <f>'thang luong moi'!$F$5</f>
        <v>4012500</v>
      </c>
      <c r="C1587" s="421">
        <v>6</v>
      </c>
      <c r="D1587" s="41"/>
    </row>
    <row r="1588" spans="1:5">
      <c r="A1588" s="421" t="s">
        <v>217</v>
      </c>
      <c r="B1588" s="412" t="str">
        <f>VLOOKUP(B1582,'BANG LUONG 1'!$B$4:$AJ$55,8,0)</f>
        <v>B.02</v>
      </c>
      <c r="C1588" s="421">
        <v>7</v>
      </c>
      <c r="D1588" s="41"/>
    </row>
    <row r="1589" spans="1:5">
      <c r="A1589" s="421" t="s">
        <v>230</v>
      </c>
      <c r="B1589" s="412">
        <f>VLOOKUP(B1582,'BANG LUONG 1'!$B$4:$AJ$55,9,0)</f>
        <v>1</v>
      </c>
      <c r="C1589" s="421">
        <v>8</v>
      </c>
      <c r="D1589" s="41"/>
    </row>
    <row r="1590" spans="1:5">
      <c r="A1590" s="421" t="s">
        <v>538</v>
      </c>
      <c r="B1590" s="412">
        <f>VLOOKUP(B1582,'BANG LUONG 1'!$B$4:$AJ$55,11,0)</f>
        <v>4413750</v>
      </c>
      <c r="C1590" s="421">
        <v>9</v>
      </c>
      <c r="D1590" s="41"/>
    </row>
    <row r="1591" spans="1:5">
      <c r="A1591" s="421" t="s">
        <v>354</v>
      </c>
      <c r="B1591" s="412">
        <f>VLOOKUP(B1582,'BANG LUONG 1'!$B$4:$AJ$55,12,0)</f>
        <v>27</v>
      </c>
      <c r="C1591" s="421">
        <v>10</v>
      </c>
      <c r="D1591" s="41"/>
    </row>
    <row r="1592" spans="1:5">
      <c r="A1592" s="421" t="s">
        <v>534</v>
      </c>
      <c r="B1592" s="412">
        <f>VLOOKUP(B1582,'BANG LUONG 1'!$B$4:$AJ$55,13,0)</f>
        <v>4583509.615384615</v>
      </c>
      <c r="C1592" s="421">
        <v>11</v>
      </c>
      <c r="D1592" s="41"/>
    </row>
    <row r="1593" spans="1:5">
      <c r="A1593" s="421" t="s">
        <v>592</v>
      </c>
      <c r="B1593" s="412">
        <f>VLOOKUP(B1582,'BANG LUONG 1'!$B$4:$AJ$55,14,0)</f>
        <v>0</v>
      </c>
      <c r="C1593" s="421">
        <v>12</v>
      </c>
      <c r="D1593" s="41">
        <f>B1590/26*B1593</f>
        <v>0</v>
      </c>
    </row>
    <row r="1594" spans="1:5">
      <c r="A1594" s="421" t="s">
        <v>357</v>
      </c>
      <c r="B1594" s="412">
        <f>VLOOKUP(B1582,'BANG LUONG 1'!$B$4:$AJ$55,15,0)</f>
        <v>0</v>
      </c>
      <c r="C1594" s="421">
        <v>13</v>
      </c>
      <c r="D1594" s="41">
        <f>B1590/26/8*1.5*B1594</f>
        <v>0</v>
      </c>
    </row>
    <row r="1595" spans="1:5">
      <c r="A1595" s="421" t="s">
        <v>387</v>
      </c>
      <c r="B1595" s="412">
        <f>VLOOKUP(B1582,'BANG LUONG 1'!$B$4:$AJ$55,16,0)</f>
        <v>0</v>
      </c>
      <c r="C1595" s="421">
        <v>14</v>
      </c>
      <c r="D1595" s="41">
        <f>B1590/26/8*2*B1595</f>
        <v>0</v>
      </c>
    </row>
    <row r="1596" spans="1:5">
      <c r="A1596" s="421" t="s">
        <v>593</v>
      </c>
      <c r="B1596" s="412">
        <f>VLOOKUP(B1582,'BANG LUONG 1'!$B$4:$AJ$55,17,0)</f>
        <v>0</v>
      </c>
      <c r="C1596" s="421"/>
      <c r="D1596" s="41">
        <f>(B1590/26)*B1596</f>
        <v>0</v>
      </c>
    </row>
    <row r="1597" spans="1:5">
      <c r="A1597" s="421" t="s">
        <v>388</v>
      </c>
      <c r="B1597" s="412">
        <f>VLOOKUP(B1582,'BANG LUONG 1'!$B$4:$AJ$55,18,0)</f>
        <v>0</v>
      </c>
      <c r="C1597" s="421">
        <v>15</v>
      </c>
      <c r="D1597" s="41">
        <f>(B1590/26*B1597)*3</f>
        <v>0</v>
      </c>
    </row>
    <row r="1598" spans="1:5">
      <c r="A1598" s="421" t="s">
        <v>533</v>
      </c>
      <c r="B1598" s="412">
        <f>VLOOKUP(B1582,'BANG LUONG 1'!$B$4:$AJ$55,19,0)</f>
        <v>4583509.615384615</v>
      </c>
      <c r="C1598" s="183">
        <v>16</v>
      </c>
      <c r="D1598" s="185">
        <f>B1592+D1594+D1595+D1593+D1597+D1596</f>
        <v>4583509.615384615</v>
      </c>
      <c r="E1598" s="108"/>
    </row>
    <row r="1599" spans="1:5">
      <c r="A1599" s="421" t="s">
        <v>535</v>
      </c>
      <c r="B1599" s="412">
        <f>VLOOKUP(B1582,'BANG LUONG 1'!$B$4:$AJ$55,20,0)</f>
        <v>-4583509.615384615</v>
      </c>
      <c r="C1599" s="421">
        <v>17</v>
      </c>
      <c r="D1599" s="41"/>
    </row>
    <row r="1600" spans="1:5">
      <c r="A1600" s="421" t="s">
        <v>370</v>
      </c>
      <c r="B1600" s="412">
        <f>VLOOKUP(B1582,'BANG LUONG 1'!$B$4:$AJ$55,22,0)</f>
        <v>0</v>
      </c>
      <c r="C1600" s="421">
        <v>18</v>
      </c>
      <c r="D1600" s="41"/>
    </row>
    <row r="1601" spans="1:5">
      <c r="A1601" s="421" t="s">
        <v>371</v>
      </c>
      <c r="B1601" s="412">
        <f>VLOOKUP(B1582,'BANG LUONG 1'!$B$4:$AJ$55,23,0)</f>
        <v>300000</v>
      </c>
      <c r="C1601" s="421">
        <v>19</v>
      </c>
      <c r="D1601" s="41"/>
    </row>
    <row r="1602" spans="1:5">
      <c r="A1602" s="421" t="s">
        <v>560</v>
      </c>
      <c r="B1602" s="412">
        <f>VLOOKUP(B1582,'BANG LUONG 1'!$B$4:$AJ$55,24,0)</f>
        <v>0</v>
      </c>
      <c r="C1602" s="421">
        <v>22</v>
      </c>
      <c r="D1602" s="41"/>
    </row>
    <row r="1603" spans="1:5">
      <c r="A1603" s="183" t="s">
        <v>237</v>
      </c>
      <c r="B1603" s="415">
        <f>VLOOKUP(B1582,'BANG LUONG 1'!$B$4:$AJ$55,26,0)</f>
        <v>300000</v>
      </c>
      <c r="C1603" s="421">
        <v>24</v>
      </c>
      <c r="D1603" s="41"/>
    </row>
    <row r="1604" spans="1:5">
      <c r="A1604" s="421" t="s">
        <v>545</v>
      </c>
      <c r="B1604" s="412">
        <f>VLOOKUP(B1582,'BANG LUONG 1'!$B$4:$AJ$55,27,0)</f>
        <v>4000000</v>
      </c>
      <c r="C1604" s="421">
        <v>25</v>
      </c>
      <c r="D1604" s="41"/>
    </row>
    <row r="1605" spans="1:5">
      <c r="A1605" s="421" t="s">
        <v>544</v>
      </c>
      <c r="B1605" s="412">
        <f>VLOOKUP(B1582,'BANG LUONG 1'!$B$4:$AJ$55,28,0)</f>
        <v>480585</v>
      </c>
      <c r="C1605" s="421">
        <v>26</v>
      </c>
      <c r="D1605" s="41"/>
    </row>
    <row r="1606" spans="1:5">
      <c r="A1606" s="421" t="s">
        <v>713</v>
      </c>
      <c r="B1606" s="415">
        <f>VLOOKUP(B1582,'BANG LUONG 1'!$B$4:$AJ$55,32,0)</f>
        <v>0</v>
      </c>
      <c r="C1606" s="421"/>
      <c r="D1606" s="41"/>
    </row>
    <row r="1607" spans="1:5">
      <c r="A1607" s="421" t="s">
        <v>714</v>
      </c>
      <c r="B1607" s="415">
        <f>VLOOKUP(B1582,'BANG LUONG 1'!$B$4:$AJ$55,33,0)</f>
        <v>0</v>
      </c>
      <c r="C1607" s="421"/>
      <c r="D1607" s="41"/>
    </row>
    <row r="1608" spans="1:5">
      <c r="A1608" s="183" t="s">
        <v>707</v>
      </c>
      <c r="B1608" s="415">
        <f>VLOOKUP(B1582,'BANG LUONG 1'!$B$4:$AJ$55,34,0)</f>
        <v>0</v>
      </c>
      <c r="C1608" s="421"/>
      <c r="D1608" s="41"/>
      <c r="E1608" s="108" t="str">
        <f>B1583</f>
        <v>Hà Thanh Truyền</v>
      </c>
    </row>
    <row r="1609" spans="1:5">
      <c r="A1609" s="183" t="s">
        <v>546</v>
      </c>
      <c r="B1609" s="415">
        <f>VLOOKUP(B1582,'BANG LUONG 1'!$B$4:$AJ$55,35,0)</f>
        <v>-4181000</v>
      </c>
      <c r="C1609" s="421"/>
      <c r="D1609" s="41"/>
    </row>
    <row r="1610" spans="1:5">
      <c r="A1610" s="183"/>
      <c r="B1610" s="412"/>
      <c r="C1610" s="421">
        <v>27</v>
      </c>
      <c r="D1610" s="185"/>
    </row>
    <row r="1611" spans="1:5">
      <c r="A1611" s="184" t="s">
        <v>549</v>
      </c>
      <c r="B1611" s="424">
        <f>'BANG LUONG 1'!$P$2</f>
        <v>43702</v>
      </c>
    </row>
    <row r="1612" spans="1:5">
      <c r="A1612" s="183" t="s">
        <v>1</v>
      </c>
      <c r="B1612" s="185" t="s">
        <v>145</v>
      </c>
      <c r="C1612" s="421">
        <v>1</v>
      </c>
      <c r="D1612" s="41"/>
    </row>
    <row r="1613" spans="1:5">
      <c r="A1613" s="183" t="s">
        <v>2</v>
      </c>
      <c r="B1613" s="185" t="str">
        <f>VLOOKUP($B1612,'BANG LUONG 1'!$B$5:$AB$47,C1613,0)</f>
        <v>Hà Thanh Truyền</v>
      </c>
      <c r="C1613" s="421">
        <v>2</v>
      </c>
      <c r="D1613" s="41"/>
    </row>
    <row r="1614" spans="1:5">
      <c r="A1614" s="421" t="s">
        <v>3</v>
      </c>
      <c r="B1614" s="41" t="str">
        <f>VLOOKUP($B1612,'BANG LUONG 1'!$B$5:$AJ$47,C1614,0)</f>
        <v>Lái xe cơ giới</v>
      </c>
      <c r="C1614" s="421">
        <v>3</v>
      </c>
      <c r="D1614" s="41"/>
    </row>
    <row r="1615" spans="1:5">
      <c r="A1615" s="421" t="s">
        <v>376</v>
      </c>
      <c r="B1615" s="410">
        <f>VLOOKUP($B1612,'BANG LUONG 1'!$B$4:$AJ$55,4,0)</f>
        <v>42789</v>
      </c>
      <c r="C1615" s="421">
        <v>4</v>
      </c>
      <c r="D1615" s="41"/>
    </row>
    <row r="1616" spans="1:5">
      <c r="A1616" s="421" t="s">
        <v>698</v>
      </c>
      <c r="B1616" s="411">
        <f>VLOOKUP(B1612,'BANG LUONG 1'!$B$4:$AJ$55,6,0)</f>
        <v>0</v>
      </c>
      <c r="C1616" s="421">
        <v>5</v>
      </c>
      <c r="D1616" s="41"/>
    </row>
    <row r="1617" spans="1:5">
      <c r="A1617" s="421" t="s">
        <v>229</v>
      </c>
      <c r="B1617" s="412">
        <f>'thang luong moi'!$F$5</f>
        <v>4012500</v>
      </c>
      <c r="C1617" s="421">
        <v>6</v>
      </c>
      <c r="D1617" s="41"/>
    </row>
    <row r="1618" spans="1:5">
      <c r="A1618" s="421" t="s">
        <v>217</v>
      </c>
      <c r="B1618" s="412" t="str">
        <f>VLOOKUP(B1612,'BANG LUONG 1'!$B$4:$AJ$55,8,0)</f>
        <v>B.02</v>
      </c>
      <c r="C1618" s="421">
        <v>7</v>
      </c>
      <c r="D1618" s="41"/>
    </row>
    <row r="1619" spans="1:5">
      <c r="A1619" s="421" t="s">
        <v>230</v>
      </c>
      <c r="B1619" s="412">
        <f>VLOOKUP(B1612,'BANG LUONG 1'!$B$4:$AJ$55,9,0)</f>
        <v>1</v>
      </c>
      <c r="C1619" s="421">
        <v>8</v>
      </c>
      <c r="D1619" s="41"/>
    </row>
    <row r="1620" spans="1:5">
      <c r="A1620" s="421" t="s">
        <v>538</v>
      </c>
      <c r="B1620" s="412">
        <f>VLOOKUP(B1612,'BANG LUONG 1'!$B$4:$AJ$55,11,0)</f>
        <v>4413750</v>
      </c>
      <c r="C1620" s="421">
        <v>9</v>
      </c>
      <c r="D1620" s="41"/>
    </row>
    <row r="1621" spans="1:5">
      <c r="A1621" s="421" t="s">
        <v>354</v>
      </c>
      <c r="B1621" s="412">
        <f>VLOOKUP(B1612,'BANG LUONG 1'!$B$4:$AJ$55,12,0)</f>
        <v>27</v>
      </c>
      <c r="C1621" s="421">
        <v>10</v>
      </c>
      <c r="D1621" s="41"/>
    </row>
    <row r="1622" spans="1:5">
      <c r="A1622" s="421" t="s">
        <v>534</v>
      </c>
      <c r="B1622" s="412">
        <f>VLOOKUP(B1612,'BANG LUONG 1'!$B$4:$AJ$55,13,0)</f>
        <v>4583509.615384615</v>
      </c>
      <c r="C1622" s="421">
        <v>11</v>
      </c>
      <c r="D1622" s="41"/>
    </row>
    <row r="1623" spans="1:5">
      <c r="A1623" s="421" t="s">
        <v>592</v>
      </c>
      <c r="B1623" s="412">
        <f>VLOOKUP(B1612,'BANG LUONG 1'!$B$4:$AJ$55,14,0)</f>
        <v>0</v>
      </c>
      <c r="C1623" s="421">
        <v>12</v>
      </c>
      <c r="D1623" s="41">
        <f>B1620/26*B1623</f>
        <v>0</v>
      </c>
    </row>
    <row r="1624" spans="1:5">
      <c r="A1624" s="421" t="s">
        <v>357</v>
      </c>
      <c r="B1624" s="412">
        <f>VLOOKUP(B1612,'BANG LUONG 1'!$B$4:$AJ$55,15,0)</f>
        <v>0</v>
      </c>
      <c r="C1624" s="421">
        <v>13</v>
      </c>
      <c r="D1624" s="41">
        <f>B1620/26/8*1.5*B1624</f>
        <v>0</v>
      </c>
    </row>
    <row r="1625" spans="1:5">
      <c r="A1625" s="421" t="s">
        <v>387</v>
      </c>
      <c r="B1625" s="412">
        <f>VLOOKUP(B1612,'BANG LUONG 1'!$B$4:$AJ$55,16,0)</f>
        <v>0</v>
      </c>
      <c r="C1625" s="421">
        <v>14</v>
      </c>
      <c r="D1625" s="41">
        <f>B1620/26/8*2*B1625</f>
        <v>0</v>
      </c>
    </row>
    <row r="1626" spans="1:5">
      <c r="A1626" s="421" t="s">
        <v>593</v>
      </c>
      <c r="B1626" s="412">
        <f>VLOOKUP(B1612,'BANG LUONG 1'!$B$4:$AJ$55,17,0)</f>
        <v>0</v>
      </c>
      <c r="C1626" s="421"/>
      <c r="D1626" s="41">
        <f>(B1620/26)*B1626</f>
        <v>0</v>
      </c>
    </row>
    <row r="1627" spans="1:5">
      <c r="A1627" s="421" t="s">
        <v>388</v>
      </c>
      <c r="B1627" s="412">
        <f>VLOOKUP(B1612,'BANG LUONG 1'!$B$4:$AJ$55,18,0)</f>
        <v>0</v>
      </c>
      <c r="C1627" s="421">
        <v>15</v>
      </c>
      <c r="D1627" s="41">
        <f>(B1620/26*B1627)*3</f>
        <v>0</v>
      </c>
    </row>
    <row r="1628" spans="1:5">
      <c r="A1628" s="421" t="s">
        <v>533</v>
      </c>
      <c r="B1628" s="412">
        <f>VLOOKUP(B1612,'BANG LUONG 1'!$B$4:$AJ$55,19,0)</f>
        <v>4583509.615384615</v>
      </c>
      <c r="C1628" s="183">
        <v>16</v>
      </c>
      <c r="D1628" s="185">
        <f>B1622+D1624+D1625+D1623+D1627+D1626</f>
        <v>4583509.615384615</v>
      </c>
      <c r="E1628" s="108"/>
    </row>
    <row r="1629" spans="1:5">
      <c r="A1629" s="421" t="s">
        <v>535</v>
      </c>
      <c r="B1629" s="412">
        <f>VLOOKUP(B1612,'BANG LUONG 1'!$B$4:$AJ$55,20,0)</f>
        <v>-4583509.615384615</v>
      </c>
      <c r="C1629" s="421">
        <v>17</v>
      </c>
      <c r="D1629" s="41"/>
    </row>
    <row r="1630" spans="1:5">
      <c r="A1630" s="421" t="s">
        <v>370</v>
      </c>
      <c r="B1630" s="412">
        <f>VLOOKUP(B1612,'BANG LUONG 1'!$B$4:$AJ$55,22,0)</f>
        <v>0</v>
      </c>
      <c r="C1630" s="421">
        <v>18</v>
      </c>
      <c r="D1630" s="41"/>
    </row>
    <row r="1631" spans="1:5">
      <c r="A1631" s="421" t="s">
        <v>371</v>
      </c>
      <c r="B1631" s="412">
        <f>VLOOKUP(B1612,'BANG LUONG 1'!$B$4:$AJ$55,23,0)</f>
        <v>300000</v>
      </c>
      <c r="C1631" s="421">
        <v>19</v>
      </c>
      <c r="D1631" s="41"/>
    </row>
    <row r="1632" spans="1:5">
      <c r="A1632" s="421" t="s">
        <v>560</v>
      </c>
      <c r="B1632" s="412">
        <f>VLOOKUP(B1612,'BANG LUONG 1'!$B$4:$AJ$55,24,0)</f>
        <v>0</v>
      </c>
      <c r="C1632" s="421">
        <v>22</v>
      </c>
      <c r="D1632" s="41"/>
    </row>
    <row r="1633" spans="1:5">
      <c r="A1633" s="183" t="s">
        <v>237</v>
      </c>
      <c r="B1633" s="415">
        <f>VLOOKUP(B1612,'BANG LUONG 1'!$B$4:$AJ$55,26,0)</f>
        <v>300000</v>
      </c>
      <c r="C1633" s="421">
        <v>24</v>
      </c>
      <c r="D1633" s="41"/>
    </row>
    <row r="1634" spans="1:5">
      <c r="A1634" s="421" t="s">
        <v>545</v>
      </c>
      <c r="B1634" s="412">
        <f>VLOOKUP(B1612,'BANG LUONG 1'!$B$4:$AJ$55,27,0)</f>
        <v>4000000</v>
      </c>
      <c r="C1634" s="421">
        <v>25</v>
      </c>
      <c r="D1634" s="41"/>
    </row>
    <row r="1635" spans="1:5">
      <c r="A1635" s="421" t="s">
        <v>544</v>
      </c>
      <c r="B1635" s="412">
        <f>VLOOKUP(B1612,'BANG LUONG 1'!$B$4:$AJ$55,28,0)</f>
        <v>480585</v>
      </c>
      <c r="C1635" s="421">
        <v>26</v>
      </c>
      <c r="D1635" s="41"/>
    </row>
    <row r="1636" spans="1:5">
      <c r="A1636" s="421" t="s">
        <v>713</v>
      </c>
      <c r="B1636" s="415">
        <f>VLOOKUP(B1612,'BANG LUONG 1'!$B$4:$AJ$55,32,0)</f>
        <v>0</v>
      </c>
      <c r="C1636" s="421"/>
      <c r="D1636" s="41"/>
    </row>
    <row r="1637" spans="1:5">
      <c r="A1637" s="421" t="s">
        <v>714</v>
      </c>
      <c r="B1637" s="415">
        <f>VLOOKUP(B1612,'BANG LUONG 1'!$B$4:$AJ$55,33,0)</f>
        <v>0</v>
      </c>
      <c r="C1637" s="421"/>
      <c r="D1637" s="41"/>
    </row>
    <row r="1638" spans="1:5">
      <c r="A1638" s="183" t="s">
        <v>707</v>
      </c>
      <c r="B1638" s="415">
        <f>VLOOKUP(B1612,'BANG LUONG 1'!$B$4:$AJ$55,34,0)</f>
        <v>0</v>
      </c>
      <c r="C1638" s="421"/>
      <c r="D1638" s="41"/>
      <c r="E1638" s="108" t="str">
        <f>B1613</f>
        <v>Hà Thanh Truyền</v>
      </c>
    </row>
    <row r="1639" spans="1:5">
      <c r="A1639" s="183" t="s">
        <v>546</v>
      </c>
      <c r="B1639" s="415">
        <f>VLOOKUP(B1612,'BANG LUONG 1'!$B$4:$AJ$55,35,0)</f>
        <v>-4181000</v>
      </c>
      <c r="C1639" s="421"/>
      <c r="D1639" s="41"/>
    </row>
    <row r="1640" spans="1:5">
      <c r="A1640" s="184" t="s">
        <v>549</v>
      </c>
      <c r="B1640" s="424">
        <f>'BANG LUONG 1'!$P$2</f>
        <v>43702</v>
      </c>
    </row>
    <row r="1641" spans="1:5">
      <c r="A1641" s="183" t="s">
        <v>1</v>
      </c>
      <c r="B1641" s="185" t="s">
        <v>146</v>
      </c>
      <c r="C1641" s="421">
        <v>1</v>
      </c>
      <c r="D1641" s="41"/>
    </row>
    <row r="1642" spans="1:5">
      <c r="A1642" s="183" t="s">
        <v>2</v>
      </c>
      <c r="B1642" s="185" t="str">
        <f>VLOOKUP($B1641,'BANG LUONG 1'!$B$5:$AB$47,C1642,0)</f>
        <v>Phan Văn Bạn</v>
      </c>
      <c r="C1642" s="421">
        <v>2</v>
      </c>
      <c r="D1642" s="41"/>
    </row>
    <row r="1643" spans="1:5">
      <c r="A1643" s="421" t="s">
        <v>3</v>
      </c>
      <c r="B1643" s="41" t="str">
        <f>VLOOKUP($B1641,'BANG LUONG 1'!$B$5:$AJ$47,C1643,0)</f>
        <v>Lái xe cơ giới</v>
      </c>
      <c r="C1643" s="421">
        <v>3</v>
      </c>
      <c r="D1643" s="41"/>
    </row>
    <row r="1644" spans="1:5">
      <c r="A1644" s="421" t="s">
        <v>376</v>
      </c>
      <c r="B1644" s="410">
        <f>VLOOKUP($B1641,'BANG LUONG 1'!$B$4:$AJ$55,4,0)</f>
        <v>41640</v>
      </c>
      <c r="C1644" s="421">
        <v>4</v>
      </c>
      <c r="D1644" s="41"/>
    </row>
    <row r="1645" spans="1:5">
      <c r="A1645" s="421" t="s">
        <v>698</v>
      </c>
      <c r="B1645" s="411">
        <f>VLOOKUP(B1641,'BANG LUONG 1'!$B$4:$AJ$55,6,0)</f>
        <v>0.05</v>
      </c>
      <c r="C1645" s="421">
        <v>5</v>
      </c>
      <c r="D1645" s="41"/>
    </row>
    <row r="1646" spans="1:5">
      <c r="A1646" s="421" t="s">
        <v>229</v>
      </c>
      <c r="B1646" s="412">
        <f>'thang luong moi'!$F$5</f>
        <v>4012500</v>
      </c>
      <c r="C1646" s="421">
        <v>6</v>
      </c>
      <c r="D1646" s="41"/>
    </row>
    <row r="1647" spans="1:5">
      <c r="A1647" s="421" t="s">
        <v>217</v>
      </c>
      <c r="B1647" s="412" t="str">
        <f>VLOOKUP(B1641,'BANG LUONG 1'!$B$4:$AJ$55,8,0)</f>
        <v>B.02</v>
      </c>
      <c r="C1647" s="421">
        <v>7</v>
      </c>
      <c r="D1647" s="41"/>
    </row>
    <row r="1648" spans="1:5">
      <c r="A1648" s="421" t="s">
        <v>230</v>
      </c>
      <c r="B1648" s="412">
        <f>VLOOKUP(B1641,'BANG LUONG 1'!$B$4:$AJ$55,9,0)</f>
        <v>1</v>
      </c>
      <c r="C1648" s="421">
        <v>8</v>
      </c>
      <c r="D1648" s="41"/>
    </row>
    <row r="1649" spans="1:5">
      <c r="A1649" s="421" t="s">
        <v>538</v>
      </c>
      <c r="B1649" s="412">
        <f>VLOOKUP(B1641,'BANG LUONG 1'!$B$4:$AJ$55,11,0)</f>
        <v>4413750</v>
      </c>
      <c r="C1649" s="421">
        <v>9</v>
      </c>
      <c r="D1649" s="41"/>
    </row>
    <row r="1650" spans="1:5">
      <c r="A1650" s="421" t="s">
        <v>354</v>
      </c>
      <c r="B1650" s="412">
        <f>VLOOKUP(B1641,'BANG LUONG 1'!$B$4:$AJ$55,12,0)</f>
        <v>27</v>
      </c>
      <c r="C1650" s="421">
        <v>10</v>
      </c>
      <c r="D1650" s="41"/>
    </row>
    <row r="1651" spans="1:5">
      <c r="A1651" s="421" t="s">
        <v>534</v>
      </c>
      <c r="B1651" s="412">
        <f>VLOOKUP(B1641,'BANG LUONG 1'!$B$4:$AJ$55,13,0)</f>
        <v>4583509.615384615</v>
      </c>
      <c r="C1651" s="421">
        <v>11</v>
      </c>
      <c r="D1651" s="41"/>
    </row>
    <row r="1652" spans="1:5">
      <c r="A1652" s="421" t="s">
        <v>592</v>
      </c>
      <c r="B1652" s="412">
        <f>VLOOKUP(B1641,'BANG LUONG 1'!$B$4:$AJ$55,14,0)</f>
        <v>0</v>
      </c>
      <c r="C1652" s="421">
        <v>12</v>
      </c>
      <c r="D1652" s="41">
        <f>B1649/26*B1652</f>
        <v>0</v>
      </c>
    </row>
    <row r="1653" spans="1:5">
      <c r="A1653" s="421" t="s">
        <v>357</v>
      </c>
      <c r="B1653" s="412">
        <f>VLOOKUP(B1641,'BANG LUONG 1'!$B$4:$AJ$55,15,0)</f>
        <v>0</v>
      </c>
      <c r="C1653" s="421">
        <v>13</v>
      </c>
      <c r="D1653" s="41">
        <f>B1649/26/8*1.5*B1653</f>
        <v>0</v>
      </c>
    </row>
    <row r="1654" spans="1:5">
      <c r="A1654" s="421" t="s">
        <v>387</v>
      </c>
      <c r="B1654" s="412">
        <f>VLOOKUP(B1641,'BANG LUONG 1'!$B$4:$AJ$55,16,0)</f>
        <v>0</v>
      </c>
      <c r="C1654" s="421">
        <v>14</v>
      </c>
      <c r="D1654" s="41">
        <f>B1649/26/8*2*B1654</f>
        <v>0</v>
      </c>
    </row>
    <row r="1655" spans="1:5">
      <c r="A1655" s="421" t="s">
        <v>593</v>
      </c>
      <c r="B1655" s="412">
        <f>VLOOKUP(B1641,'BANG LUONG 1'!$B$4:$AJ$55,17,0)</f>
        <v>0</v>
      </c>
      <c r="C1655" s="421"/>
      <c r="D1655" s="41">
        <f>(B1649/26)*B1655</f>
        <v>0</v>
      </c>
    </row>
    <row r="1656" spans="1:5">
      <c r="A1656" s="421" t="s">
        <v>388</v>
      </c>
      <c r="B1656" s="412">
        <f>VLOOKUP(B1641,'BANG LUONG 1'!$B$4:$AJ$55,18,0)</f>
        <v>0</v>
      </c>
      <c r="C1656" s="421">
        <v>15</v>
      </c>
      <c r="D1656" s="41">
        <f>(B1649/26*B1656)*3</f>
        <v>0</v>
      </c>
    </row>
    <row r="1657" spans="1:5">
      <c r="A1657" s="421" t="s">
        <v>533</v>
      </c>
      <c r="B1657" s="412">
        <f>VLOOKUP(B1641,'BANG LUONG 1'!$B$4:$AJ$55,19,0)</f>
        <v>4583509.615384615</v>
      </c>
      <c r="C1657" s="183">
        <v>16</v>
      </c>
      <c r="D1657" s="185">
        <f>B1651+D1653+D1654+D1652+D1656+D1655</f>
        <v>4583509.615384615</v>
      </c>
      <c r="E1657" s="108"/>
    </row>
    <row r="1658" spans="1:5">
      <c r="A1658" s="421" t="s">
        <v>535</v>
      </c>
      <c r="B1658" s="412">
        <f>VLOOKUP(B1641,'BANG LUONG 1'!$B$4:$AJ$55,20,0)</f>
        <v>-4325555.769230769</v>
      </c>
      <c r="C1658" s="421">
        <v>17</v>
      </c>
      <c r="D1658" s="41"/>
    </row>
    <row r="1659" spans="1:5">
      <c r="A1659" s="421" t="s">
        <v>370</v>
      </c>
      <c r="B1659" s="412">
        <f>VLOOKUP(B1641,'BANG LUONG 1'!$B$4:$AJ$55,22,0)</f>
        <v>220687.5</v>
      </c>
      <c r="C1659" s="421">
        <v>18</v>
      </c>
      <c r="D1659" s="41"/>
    </row>
    <row r="1660" spans="1:5">
      <c r="A1660" s="421" t="s">
        <v>371</v>
      </c>
      <c r="B1660" s="412">
        <f>VLOOKUP(B1641,'BANG LUONG 1'!$B$4:$AJ$55,23,0)</f>
        <v>300000</v>
      </c>
      <c r="C1660" s="421">
        <v>19</v>
      </c>
      <c r="D1660" s="41"/>
    </row>
    <row r="1661" spans="1:5">
      <c r="A1661" s="421" t="s">
        <v>560</v>
      </c>
      <c r="B1661" s="412">
        <f>VLOOKUP(B1641,'BANG LUONG 1'!$B$4:$AJ$55,24,0)</f>
        <v>0</v>
      </c>
      <c r="C1661" s="421">
        <v>22</v>
      </c>
      <c r="D1661" s="41"/>
    </row>
    <row r="1662" spans="1:5">
      <c r="A1662" s="183" t="s">
        <v>237</v>
      </c>
      <c r="B1662" s="415">
        <f>VLOOKUP(B1641,'BANG LUONG 1'!$B$4:$AJ$55,26,0)</f>
        <v>778641.34615384601</v>
      </c>
      <c r="C1662" s="421">
        <v>24</v>
      </c>
      <c r="D1662" s="41"/>
    </row>
    <row r="1663" spans="1:5">
      <c r="A1663" s="421" t="s">
        <v>545</v>
      </c>
      <c r="B1663" s="412">
        <f>VLOOKUP(B1641,'BANG LUONG 1'!$B$4:$AJ$55,27,0)</f>
        <v>3000000</v>
      </c>
      <c r="C1663" s="421">
        <v>25</v>
      </c>
      <c r="D1663" s="41"/>
    </row>
    <row r="1664" spans="1:5">
      <c r="A1664" s="421" t="s">
        <v>544</v>
      </c>
      <c r="B1664" s="412">
        <f>VLOOKUP(B1641,'BANG LUONG 1'!$B$4:$AJ$55,28,0)</f>
        <v>480585</v>
      </c>
      <c r="C1664" s="421">
        <v>26</v>
      </c>
      <c r="D1664" s="41"/>
    </row>
    <row r="1665" spans="1:5">
      <c r="A1665" s="421" t="s">
        <v>713</v>
      </c>
      <c r="B1665" s="415">
        <f>VLOOKUP(B1641,'BANG LUONG 1'!$B$4:$AJ$55,32,0)</f>
        <v>0</v>
      </c>
      <c r="C1665" s="421"/>
      <c r="D1665" s="41"/>
    </row>
    <row r="1666" spans="1:5">
      <c r="A1666" s="421" t="s">
        <v>714</v>
      </c>
      <c r="B1666" s="415">
        <f>VLOOKUP(B1641,'BANG LUONG 1'!$B$4:$AJ$55,33,0)</f>
        <v>0</v>
      </c>
      <c r="C1666" s="421"/>
      <c r="D1666" s="41"/>
    </row>
    <row r="1667" spans="1:5">
      <c r="A1667" s="183" t="s">
        <v>707</v>
      </c>
      <c r="B1667" s="415">
        <f>VLOOKUP(B1641,'BANG LUONG 1'!$B$4:$AJ$55,34,0)</f>
        <v>0</v>
      </c>
      <c r="C1667" s="421"/>
      <c r="D1667" s="41"/>
      <c r="E1667" s="108" t="str">
        <f>B1642</f>
        <v>Phan Văn Bạn</v>
      </c>
    </row>
    <row r="1668" spans="1:5">
      <c r="A1668" s="183" t="s">
        <v>546</v>
      </c>
      <c r="B1668" s="415">
        <f>VLOOKUP(B1641,'BANG LUONG 1'!$B$4:$AJ$55,35,0)</f>
        <v>-2702000</v>
      </c>
      <c r="C1668" s="421"/>
      <c r="D1668" s="41"/>
    </row>
    <row r="1669" spans="1:5">
      <c r="A1669" s="183"/>
      <c r="B1669" s="412"/>
      <c r="C1669" s="421">
        <v>27</v>
      </c>
      <c r="D1669" s="185"/>
    </row>
    <row r="1670" spans="1:5">
      <c r="A1670" s="184" t="s">
        <v>549</v>
      </c>
      <c r="B1670" s="424">
        <f>'BANG LUONG 1'!$P$2</f>
        <v>43702</v>
      </c>
    </row>
    <row r="1671" spans="1:5">
      <c r="A1671" s="183" t="s">
        <v>1</v>
      </c>
      <c r="B1671" s="185" t="s">
        <v>146</v>
      </c>
      <c r="C1671" s="421">
        <v>1</v>
      </c>
      <c r="D1671" s="41"/>
    </row>
    <row r="1672" spans="1:5">
      <c r="A1672" s="183" t="s">
        <v>2</v>
      </c>
      <c r="B1672" s="185" t="str">
        <f>VLOOKUP($B1671,'BANG LUONG 1'!$B$5:$AB$47,C1672,0)</f>
        <v>Phan Văn Bạn</v>
      </c>
      <c r="C1672" s="421">
        <v>2</v>
      </c>
      <c r="D1672" s="41"/>
    </row>
    <row r="1673" spans="1:5">
      <c r="A1673" s="421" t="s">
        <v>3</v>
      </c>
      <c r="B1673" s="41" t="str">
        <f>VLOOKUP($B1671,'BANG LUONG 1'!$B$5:$AJ$47,C1673,0)</f>
        <v>Lái xe cơ giới</v>
      </c>
      <c r="C1673" s="421">
        <v>3</v>
      </c>
      <c r="D1673" s="41"/>
    </row>
    <row r="1674" spans="1:5">
      <c r="A1674" s="421" t="s">
        <v>376</v>
      </c>
      <c r="B1674" s="410">
        <f>VLOOKUP($B1671,'BANG LUONG 1'!$B$4:$AJ$55,4,0)</f>
        <v>41640</v>
      </c>
      <c r="C1674" s="421">
        <v>4</v>
      </c>
      <c r="D1674" s="41"/>
    </row>
    <row r="1675" spans="1:5">
      <c r="A1675" s="421" t="s">
        <v>698</v>
      </c>
      <c r="B1675" s="411">
        <f>VLOOKUP(B1671,'BANG LUONG 1'!$B$4:$AJ$55,6,0)</f>
        <v>0.05</v>
      </c>
      <c r="C1675" s="421">
        <v>5</v>
      </c>
      <c r="D1675" s="41"/>
    </row>
    <row r="1676" spans="1:5">
      <c r="A1676" s="421" t="s">
        <v>229</v>
      </c>
      <c r="B1676" s="412">
        <f>'thang luong moi'!$F$5</f>
        <v>4012500</v>
      </c>
      <c r="C1676" s="421">
        <v>6</v>
      </c>
      <c r="D1676" s="41"/>
    </row>
    <row r="1677" spans="1:5">
      <c r="A1677" s="421" t="s">
        <v>217</v>
      </c>
      <c r="B1677" s="412" t="str">
        <f>VLOOKUP(B1671,'BANG LUONG 1'!$B$4:$AJ$55,8,0)</f>
        <v>B.02</v>
      </c>
      <c r="C1677" s="421">
        <v>7</v>
      </c>
      <c r="D1677" s="41"/>
    </row>
    <row r="1678" spans="1:5">
      <c r="A1678" s="421" t="s">
        <v>230</v>
      </c>
      <c r="B1678" s="412">
        <f>VLOOKUP(B1671,'BANG LUONG 1'!$B$4:$AJ$55,9,0)</f>
        <v>1</v>
      </c>
      <c r="C1678" s="421">
        <v>8</v>
      </c>
      <c r="D1678" s="41"/>
    </row>
    <row r="1679" spans="1:5">
      <c r="A1679" s="421" t="s">
        <v>538</v>
      </c>
      <c r="B1679" s="412">
        <f>VLOOKUP(B1671,'BANG LUONG 1'!$B$4:$AJ$55,11,0)</f>
        <v>4413750</v>
      </c>
      <c r="C1679" s="421">
        <v>9</v>
      </c>
      <c r="D1679" s="41"/>
    </row>
    <row r="1680" spans="1:5">
      <c r="A1680" s="421" t="s">
        <v>354</v>
      </c>
      <c r="B1680" s="412">
        <f>VLOOKUP(B1671,'BANG LUONG 1'!$B$4:$AJ$55,12,0)</f>
        <v>27</v>
      </c>
      <c r="C1680" s="421">
        <v>10</v>
      </c>
      <c r="D1680" s="41"/>
    </row>
    <row r="1681" spans="1:5">
      <c r="A1681" s="421" t="s">
        <v>534</v>
      </c>
      <c r="B1681" s="412">
        <f>VLOOKUP(B1671,'BANG LUONG 1'!$B$4:$AJ$55,13,0)</f>
        <v>4583509.615384615</v>
      </c>
      <c r="C1681" s="421">
        <v>11</v>
      </c>
      <c r="D1681" s="41"/>
    </row>
    <row r="1682" spans="1:5">
      <c r="A1682" s="421" t="s">
        <v>592</v>
      </c>
      <c r="B1682" s="412">
        <f>VLOOKUP(B1671,'BANG LUONG 1'!$B$4:$AJ$55,14,0)</f>
        <v>0</v>
      </c>
      <c r="C1682" s="421">
        <v>12</v>
      </c>
      <c r="D1682" s="41">
        <f>B1679/26*B1682</f>
        <v>0</v>
      </c>
    </row>
    <row r="1683" spans="1:5">
      <c r="A1683" s="421" t="s">
        <v>357</v>
      </c>
      <c r="B1683" s="412">
        <f>VLOOKUP(B1671,'BANG LUONG 1'!$B$4:$AJ$55,15,0)</f>
        <v>0</v>
      </c>
      <c r="C1683" s="421">
        <v>13</v>
      </c>
      <c r="D1683" s="41">
        <f>B1679/26/8*1.5*B1683</f>
        <v>0</v>
      </c>
    </row>
    <row r="1684" spans="1:5">
      <c r="A1684" s="421" t="s">
        <v>387</v>
      </c>
      <c r="B1684" s="412">
        <f>VLOOKUP(B1671,'BANG LUONG 1'!$B$4:$AJ$55,16,0)</f>
        <v>0</v>
      </c>
      <c r="C1684" s="421">
        <v>14</v>
      </c>
      <c r="D1684" s="41">
        <f>B1679/26/8*2*B1684</f>
        <v>0</v>
      </c>
    </row>
    <row r="1685" spans="1:5">
      <c r="A1685" s="421" t="s">
        <v>593</v>
      </c>
      <c r="B1685" s="412">
        <f>VLOOKUP(B1671,'BANG LUONG 1'!$B$4:$AJ$55,17,0)</f>
        <v>0</v>
      </c>
      <c r="C1685" s="421"/>
      <c r="D1685" s="41">
        <f>(B1679/26)*B1685</f>
        <v>0</v>
      </c>
    </row>
    <row r="1686" spans="1:5">
      <c r="A1686" s="421" t="s">
        <v>388</v>
      </c>
      <c r="B1686" s="412">
        <f>VLOOKUP(B1671,'BANG LUONG 1'!$B$4:$AJ$55,18,0)</f>
        <v>0</v>
      </c>
      <c r="C1686" s="421">
        <v>15</v>
      </c>
      <c r="D1686" s="41">
        <f>(B1679/26*B1686)*3</f>
        <v>0</v>
      </c>
    </row>
    <row r="1687" spans="1:5">
      <c r="A1687" s="421" t="s">
        <v>533</v>
      </c>
      <c r="B1687" s="412">
        <f>VLOOKUP(B1671,'BANG LUONG 1'!$B$4:$AJ$55,19,0)</f>
        <v>4583509.615384615</v>
      </c>
      <c r="C1687" s="183">
        <v>16</v>
      </c>
      <c r="D1687" s="185">
        <f>B1681+D1683+D1684+D1682+D1686+D1685</f>
        <v>4583509.615384615</v>
      </c>
      <c r="E1687" s="108"/>
    </row>
    <row r="1688" spans="1:5">
      <c r="A1688" s="421" t="s">
        <v>535</v>
      </c>
      <c r="B1688" s="412">
        <f>VLOOKUP(B1671,'BANG LUONG 1'!$B$4:$AJ$55,20,0)</f>
        <v>-4325555.769230769</v>
      </c>
      <c r="C1688" s="421">
        <v>17</v>
      </c>
      <c r="D1688" s="41"/>
    </row>
    <row r="1689" spans="1:5">
      <c r="A1689" s="421" t="s">
        <v>370</v>
      </c>
      <c r="B1689" s="412">
        <f>VLOOKUP(B1671,'BANG LUONG 1'!$B$4:$AJ$55,22,0)</f>
        <v>220687.5</v>
      </c>
      <c r="C1689" s="421">
        <v>18</v>
      </c>
      <c r="D1689" s="41"/>
    </row>
    <row r="1690" spans="1:5">
      <c r="A1690" s="421" t="s">
        <v>371</v>
      </c>
      <c r="B1690" s="412">
        <f>VLOOKUP(B1671,'BANG LUONG 1'!$B$4:$AJ$55,23,0)</f>
        <v>300000</v>
      </c>
      <c r="C1690" s="421">
        <v>19</v>
      </c>
      <c r="D1690" s="41"/>
    </row>
    <row r="1691" spans="1:5">
      <c r="A1691" s="421" t="s">
        <v>560</v>
      </c>
      <c r="B1691" s="412">
        <f>VLOOKUP(B1671,'BANG LUONG 1'!$B$4:$AJ$55,24,0)</f>
        <v>0</v>
      </c>
      <c r="C1691" s="421">
        <v>22</v>
      </c>
      <c r="D1691" s="41"/>
    </row>
    <row r="1692" spans="1:5">
      <c r="A1692" s="183" t="s">
        <v>237</v>
      </c>
      <c r="B1692" s="415">
        <f>VLOOKUP(B1671,'BANG LUONG 1'!$B$4:$AJ$55,26,0)</f>
        <v>778641.34615384601</v>
      </c>
      <c r="C1692" s="421">
        <v>24</v>
      </c>
      <c r="D1692" s="41"/>
    </row>
    <row r="1693" spans="1:5">
      <c r="A1693" s="421" t="s">
        <v>545</v>
      </c>
      <c r="B1693" s="412">
        <f>VLOOKUP(B1671,'BANG LUONG 1'!$B$4:$AJ$55,27,0)</f>
        <v>3000000</v>
      </c>
      <c r="C1693" s="421">
        <v>25</v>
      </c>
      <c r="D1693" s="41"/>
    </row>
    <row r="1694" spans="1:5">
      <c r="A1694" s="421" t="s">
        <v>544</v>
      </c>
      <c r="B1694" s="412">
        <f>VLOOKUP(B1671,'BANG LUONG 1'!$B$4:$AJ$55,28,0)</f>
        <v>480585</v>
      </c>
      <c r="C1694" s="421">
        <v>26</v>
      </c>
      <c r="D1694" s="41"/>
    </row>
    <row r="1695" spans="1:5">
      <c r="A1695" s="421" t="s">
        <v>713</v>
      </c>
      <c r="B1695" s="415">
        <f>VLOOKUP(B1671,'BANG LUONG 1'!$B$4:$AJ$55,32,0)</f>
        <v>0</v>
      </c>
      <c r="C1695" s="421"/>
      <c r="D1695" s="41"/>
    </row>
    <row r="1696" spans="1:5">
      <c r="A1696" s="421" t="s">
        <v>714</v>
      </c>
      <c r="B1696" s="415">
        <f>VLOOKUP(B1671,'BANG LUONG 1'!$B$4:$AJ$55,33,0)</f>
        <v>0</v>
      </c>
      <c r="C1696" s="421"/>
      <c r="D1696" s="41"/>
    </row>
    <row r="1697" spans="1:5">
      <c r="A1697" s="183" t="s">
        <v>707</v>
      </c>
      <c r="B1697" s="415">
        <f>VLOOKUP(B1671,'BANG LUONG 1'!$B$4:$AJ$55,34,0)</f>
        <v>0</v>
      </c>
      <c r="C1697" s="421"/>
      <c r="D1697" s="41"/>
      <c r="E1697" s="108" t="str">
        <f>B1672</f>
        <v>Phan Văn Bạn</v>
      </c>
    </row>
    <row r="1698" spans="1:5">
      <c r="A1698" s="183" t="s">
        <v>546</v>
      </c>
      <c r="B1698" s="415">
        <f>VLOOKUP(B1671,'BANG LUONG 1'!$B$4:$AJ$55,35,0)</f>
        <v>-2702000</v>
      </c>
      <c r="C1698" s="421"/>
      <c r="D1698" s="41"/>
    </row>
    <row r="1699" spans="1:5">
      <c r="A1699" s="183"/>
      <c r="B1699" s="412"/>
      <c r="C1699" s="421">
        <v>27</v>
      </c>
      <c r="D1699" s="185"/>
    </row>
    <row r="1700" spans="1:5">
      <c r="A1700" s="184" t="s">
        <v>549</v>
      </c>
      <c r="B1700" s="424">
        <f>'BANG LUONG 1'!$P$2</f>
        <v>43702</v>
      </c>
    </row>
    <row r="1701" spans="1:5">
      <c r="A1701" s="183" t="s">
        <v>1</v>
      </c>
      <c r="B1701" s="185" t="s">
        <v>147</v>
      </c>
      <c r="C1701" s="421">
        <v>1</v>
      </c>
      <c r="D1701" s="41"/>
    </row>
    <row r="1702" spans="1:5">
      <c r="A1702" s="183" t="s">
        <v>2</v>
      </c>
      <c r="B1702" s="185" t="str">
        <f>VLOOKUP($B1701,'BANG LUONG 1'!$B$5:$AB$47,C1702,0)</f>
        <v>Lê Minh Trọng</v>
      </c>
      <c r="C1702" s="421">
        <v>2</v>
      </c>
      <c r="D1702" s="41"/>
    </row>
    <row r="1703" spans="1:5">
      <c r="A1703" s="421" t="s">
        <v>3</v>
      </c>
      <c r="B1703" s="41" t="str">
        <f>VLOOKUP($B1701,'BANG LUONG 1'!$B$5:$AJ$47,C1703,0)</f>
        <v>Lái xe cơ giới</v>
      </c>
      <c r="C1703" s="421">
        <v>3</v>
      </c>
      <c r="D1703" s="41"/>
    </row>
    <row r="1704" spans="1:5">
      <c r="A1704" s="421" t="s">
        <v>376</v>
      </c>
      <c r="B1704" s="410">
        <f>VLOOKUP($B1701,'BANG LUONG 1'!$B$4:$AJ$55,4,0)</f>
        <v>42375</v>
      </c>
      <c r="C1704" s="421">
        <v>4</v>
      </c>
      <c r="D1704" s="41"/>
    </row>
    <row r="1705" spans="1:5">
      <c r="A1705" s="421" t="s">
        <v>698</v>
      </c>
      <c r="B1705" s="411">
        <f>VLOOKUP(B1701,'BANG LUONG 1'!$B$4:$AJ$55,6,0)</f>
        <v>0.03</v>
      </c>
      <c r="C1705" s="421">
        <v>5</v>
      </c>
      <c r="D1705" s="41"/>
    </row>
    <row r="1706" spans="1:5">
      <c r="A1706" s="421" t="s">
        <v>229</v>
      </c>
      <c r="B1706" s="412">
        <f>'thang luong moi'!$F$5</f>
        <v>4012500</v>
      </c>
      <c r="C1706" s="421">
        <v>6</v>
      </c>
      <c r="D1706" s="41"/>
    </row>
    <row r="1707" spans="1:5">
      <c r="A1707" s="421" t="s">
        <v>217</v>
      </c>
      <c r="B1707" s="412" t="str">
        <f>VLOOKUP(B1701,'BANG LUONG 1'!$B$4:$AJ$55,8,0)</f>
        <v>B.02</v>
      </c>
      <c r="C1707" s="421">
        <v>7</v>
      </c>
      <c r="D1707" s="41"/>
    </row>
    <row r="1708" spans="1:5">
      <c r="A1708" s="421" t="s">
        <v>230</v>
      </c>
      <c r="B1708" s="412">
        <f>VLOOKUP(B1701,'BANG LUONG 1'!$B$4:$AJ$55,9,0)</f>
        <v>1</v>
      </c>
      <c r="C1708" s="421">
        <v>8</v>
      </c>
      <c r="D1708" s="41"/>
    </row>
    <row r="1709" spans="1:5">
      <c r="A1709" s="421" t="s">
        <v>538</v>
      </c>
      <c r="B1709" s="412">
        <f>VLOOKUP(B1701,'BANG LUONG 1'!$B$4:$AJ$55,11,0)</f>
        <v>4413750</v>
      </c>
      <c r="C1709" s="421">
        <v>9</v>
      </c>
      <c r="D1709" s="41"/>
    </row>
    <row r="1710" spans="1:5">
      <c r="A1710" s="421" t="s">
        <v>354</v>
      </c>
      <c r="B1710" s="412">
        <f>VLOOKUP(B1701,'BANG LUONG 1'!$B$4:$AJ$55,12,0)</f>
        <v>27</v>
      </c>
      <c r="C1710" s="421">
        <v>10</v>
      </c>
      <c r="D1710" s="41"/>
    </row>
    <row r="1711" spans="1:5">
      <c r="A1711" s="421" t="s">
        <v>534</v>
      </c>
      <c r="B1711" s="412">
        <f>VLOOKUP(B1701,'BANG LUONG 1'!$B$4:$AJ$55,13,0)</f>
        <v>4583509.615384615</v>
      </c>
      <c r="C1711" s="421">
        <v>11</v>
      </c>
      <c r="D1711" s="41"/>
    </row>
    <row r="1712" spans="1:5">
      <c r="A1712" s="421" t="s">
        <v>592</v>
      </c>
      <c r="B1712" s="412">
        <f>VLOOKUP(B1701,'BANG LUONG 1'!$B$4:$AJ$55,14,0)</f>
        <v>0</v>
      </c>
      <c r="C1712" s="421">
        <v>12</v>
      </c>
      <c r="D1712" s="41">
        <f>B1709/26*B1712</f>
        <v>0</v>
      </c>
    </row>
    <row r="1713" spans="1:5">
      <c r="A1713" s="421" t="s">
        <v>357</v>
      </c>
      <c r="B1713" s="412">
        <f>VLOOKUP(B1701,'BANG LUONG 1'!$B$4:$AJ$55,15,0)</f>
        <v>0</v>
      </c>
      <c r="C1713" s="421">
        <v>13</v>
      </c>
      <c r="D1713" s="41">
        <f>B1709/26/8*1.5*B1713</f>
        <v>0</v>
      </c>
    </row>
    <row r="1714" spans="1:5">
      <c r="A1714" s="421" t="s">
        <v>387</v>
      </c>
      <c r="B1714" s="412">
        <f>VLOOKUP(B1701,'BANG LUONG 1'!$B$4:$AJ$55,16,0)</f>
        <v>0</v>
      </c>
      <c r="C1714" s="421">
        <v>14</v>
      </c>
      <c r="D1714" s="41">
        <f>B1709/26/8*2*B1714</f>
        <v>0</v>
      </c>
    </row>
    <row r="1715" spans="1:5">
      <c r="A1715" s="421" t="s">
        <v>593</v>
      </c>
      <c r="B1715" s="412">
        <f>VLOOKUP(B1701,'BANG LUONG 1'!$B$4:$AJ$55,17,0)</f>
        <v>0</v>
      </c>
      <c r="C1715" s="421"/>
      <c r="D1715" s="41">
        <f>(B1709/26)*B1715</f>
        <v>0</v>
      </c>
    </row>
    <row r="1716" spans="1:5">
      <c r="A1716" s="421" t="s">
        <v>388</v>
      </c>
      <c r="B1716" s="412">
        <f>VLOOKUP(B1701,'BANG LUONG 1'!$B$4:$AJ$55,18,0)</f>
        <v>0</v>
      </c>
      <c r="C1716" s="421">
        <v>15</v>
      </c>
      <c r="D1716" s="41">
        <f>(B1709/26*B1716)*3</f>
        <v>0</v>
      </c>
    </row>
    <row r="1717" spans="1:5">
      <c r="A1717" s="421" t="s">
        <v>533</v>
      </c>
      <c r="B1717" s="412">
        <f>VLOOKUP(B1701,'BANG LUONG 1'!$B$4:$AJ$55,19,0)</f>
        <v>4583509.615384615</v>
      </c>
      <c r="C1717" s="183">
        <v>16</v>
      </c>
      <c r="D1717" s="185">
        <f>B1711+D1713+D1714+D1712+D1716+D1715</f>
        <v>4583509.615384615</v>
      </c>
      <c r="E1717" s="108"/>
    </row>
    <row r="1718" spans="1:5">
      <c r="A1718" s="421" t="s">
        <v>535</v>
      </c>
      <c r="B1718" s="412">
        <f>VLOOKUP(B1701,'BANG LUONG 1'!$B$4:$AJ$55,20,0)</f>
        <v>-4583509.615384615</v>
      </c>
      <c r="C1718" s="421">
        <v>17</v>
      </c>
      <c r="D1718" s="41"/>
    </row>
    <row r="1719" spans="1:5">
      <c r="A1719" s="421" t="s">
        <v>370</v>
      </c>
      <c r="B1719" s="412">
        <f>VLOOKUP(B1701,'BANG LUONG 1'!$B$4:$AJ$55,22,0)</f>
        <v>132412.5</v>
      </c>
      <c r="C1719" s="421">
        <v>18</v>
      </c>
      <c r="D1719" s="41"/>
    </row>
    <row r="1720" spans="1:5">
      <c r="A1720" s="421" t="s">
        <v>371</v>
      </c>
      <c r="B1720" s="412">
        <f>VLOOKUP(B1701,'BANG LUONG 1'!$B$4:$AJ$55,23,0)</f>
        <v>300000</v>
      </c>
      <c r="C1720" s="421">
        <v>19</v>
      </c>
      <c r="D1720" s="41"/>
    </row>
    <row r="1721" spans="1:5">
      <c r="A1721" s="421" t="s">
        <v>560</v>
      </c>
      <c r="B1721" s="412">
        <f>VLOOKUP(B1701,'BANG LUONG 1'!$B$4:$AJ$55,24,0)</f>
        <v>0</v>
      </c>
      <c r="C1721" s="421">
        <v>22</v>
      </c>
      <c r="D1721" s="41"/>
    </row>
    <row r="1722" spans="1:5">
      <c r="A1722" s="183" t="s">
        <v>237</v>
      </c>
      <c r="B1722" s="415">
        <f>VLOOKUP(B1701,'BANG LUONG 1'!$B$4:$AJ$55,26,0)</f>
        <v>432412.5</v>
      </c>
      <c r="C1722" s="421">
        <v>24</v>
      </c>
      <c r="D1722" s="41"/>
    </row>
    <row r="1723" spans="1:5">
      <c r="A1723" s="421" t="s">
        <v>545</v>
      </c>
      <c r="B1723" s="412">
        <f>VLOOKUP(B1701,'BANG LUONG 1'!$B$4:$AJ$55,27,0)</f>
        <v>4000000</v>
      </c>
      <c r="C1723" s="421">
        <v>25</v>
      </c>
      <c r="D1723" s="41"/>
    </row>
    <row r="1724" spans="1:5">
      <c r="A1724" s="421" t="s">
        <v>544</v>
      </c>
      <c r="B1724" s="412">
        <f>VLOOKUP(B1701,'BANG LUONG 1'!$B$4:$AJ$55,28,0)</f>
        <v>480585</v>
      </c>
      <c r="C1724" s="421">
        <v>26</v>
      </c>
      <c r="D1724" s="41"/>
    </row>
    <row r="1725" spans="1:5">
      <c r="A1725" s="421" t="s">
        <v>713</v>
      </c>
      <c r="B1725" s="415">
        <f>VLOOKUP(B1701,'BANG LUONG 1'!$B$4:$AJ$55,32,0)</f>
        <v>0</v>
      </c>
      <c r="C1725" s="421"/>
      <c r="D1725" s="41"/>
    </row>
    <row r="1726" spans="1:5">
      <c r="A1726" s="421" t="s">
        <v>714</v>
      </c>
      <c r="B1726" s="415">
        <f>VLOOKUP(B1701,'BANG LUONG 1'!$B$4:$AJ$55,33,0)</f>
        <v>0</v>
      </c>
      <c r="C1726" s="421"/>
      <c r="D1726" s="41"/>
    </row>
    <row r="1727" spans="1:5">
      <c r="A1727" s="183" t="s">
        <v>707</v>
      </c>
      <c r="B1727" s="415">
        <f>VLOOKUP(B1701,'BANG LUONG 1'!$B$4:$AJ$55,34,0)</f>
        <v>0</v>
      </c>
      <c r="C1727" s="421"/>
      <c r="D1727" s="41"/>
      <c r="E1727" s="108" t="str">
        <f>B1702</f>
        <v>Lê Minh Trọng</v>
      </c>
    </row>
    <row r="1728" spans="1:5">
      <c r="A1728" s="183" t="s">
        <v>546</v>
      </c>
      <c r="B1728" s="415">
        <f>VLOOKUP(B1701,'BANG LUONG 1'!$B$4:$AJ$55,35,0)</f>
        <v>-4048000</v>
      </c>
      <c r="C1728" s="421"/>
      <c r="D1728" s="41"/>
    </row>
    <row r="1729" spans="1:4">
      <c r="A1729" s="183"/>
      <c r="B1729" s="412"/>
      <c r="C1729" s="421">
        <v>27</v>
      </c>
      <c r="D1729" s="185"/>
    </row>
    <row r="1730" spans="1:4">
      <c r="A1730" s="184" t="s">
        <v>549</v>
      </c>
      <c r="B1730" s="424">
        <f>'BANG LUONG 1'!$P$2</f>
        <v>43702</v>
      </c>
    </row>
    <row r="1731" spans="1:4">
      <c r="A1731" s="183" t="s">
        <v>1</v>
      </c>
      <c r="B1731" s="185" t="s">
        <v>147</v>
      </c>
      <c r="C1731" s="421">
        <v>1</v>
      </c>
      <c r="D1731" s="41"/>
    </row>
    <row r="1732" spans="1:4">
      <c r="A1732" s="183" t="s">
        <v>2</v>
      </c>
      <c r="B1732" s="185" t="str">
        <f>VLOOKUP($B1731,'BANG LUONG 1'!$B$5:$AB$47,C1732,0)</f>
        <v>Lê Minh Trọng</v>
      </c>
      <c r="C1732" s="421">
        <v>2</v>
      </c>
      <c r="D1732" s="41"/>
    </row>
    <row r="1733" spans="1:4">
      <c r="A1733" s="421" t="s">
        <v>3</v>
      </c>
      <c r="B1733" s="41" t="str">
        <f>VLOOKUP($B1731,'BANG LUONG 1'!$B$5:$AJ$47,C1733,0)</f>
        <v>Lái xe cơ giới</v>
      </c>
      <c r="C1733" s="421">
        <v>3</v>
      </c>
      <c r="D1733" s="41"/>
    </row>
    <row r="1734" spans="1:4">
      <c r="A1734" s="421" t="s">
        <v>376</v>
      </c>
      <c r="B1734" s="410">
        <f>VLOOKUP($B1731,'BANG LUONG 1'!$B$4:$AJ$55,4,0)</f>
        <v>42375</v>
      </c>
      <c r="C1734" s="421">
        <v>4</v>
      </c>
      <c r="D1734" s="41"/>
    </row>
    <row r="1735" spans="1:4">
      <c r="A1735" s="421" t="s">
        <v>698</v>
      </c>
      <c r="B1735" s="411">
        <f>VLOOKUP(B1731,'BANG LUONG 1'!$B$4:$AJ$55,6,0)</f>
        <v>0.03</v>
      </c>
      <c r="C1735" s="421">
        <v>5</v>
      </c>
      <c r="D1735" s="41"/>
    </row>
    <row r="1736" spans="1:4">
      <c r="A1736" s="421" t="s">
        <v>229</v>
      </c>
      <c r="B1736" s="412">
        <f>'thang luong moi'!$F$5</f>
        <v>4012500</v>
      </c>
      <c r="C1736" s="421">
        <v>6</v>
      </c>
      <c r="D1736" s="41"/>
    </row>
    <row r="1737" spans="1:4">
      <c r="A1737" s="421" t="s">
        <v>217</v>
      </c>
      <c r="B1737" s="412" t="str">
        <f>VLOOKUP(B1731,'BANG LUONG 1'!$B$4:$AJ$55,8,0)</f>
        <v>B.02</v>
      </c>
      <c r="C1737" s="421">
        <v>7</v>
      </c>
      <c r="D1737" s="41"/>
    </row>
    <row r="1738" spans="1:4">
      <c r="A1738" s="421" t="s">
        <v>230</v>
      </c>
      <c r="B1738" s="412">
        <f>VLOOKUP(B1731,'BANG LUONG 1'!$B$4:$AJ$55,9,0)</f>
        <v>1</v>
      </c>
      <c r="C1738" s="421">
        <v>8</v>
      </c>
      <c r="D1738" s="41"/>
    </row>
    <row r="1739" spans="1:4">
      <c r="A1739" s="421" t="s">
        <v>538</v>
      </c>
      <c r="B1739" s="412">
        <f>VLOOKUP(B1731,'BANG LUONG 1'!$B$4:$AJ$55,11,0)</f>
        <v>4413750</v>
      </c>
      <c r="C1739" s="421">
        <v>9</v>
      </c>
      <c r="D1739" s="41"/>
    </row>
    <row r="1740" spans="1:4">
      <c r="A1740" s="421" t="s">
        <v>354</v>
      </c>
      <c r="B1740" s="412">
        <f>VLOOKUP(B1731,'BANG LUONG 1'!$B$4:$AJ$55,12,0)</f>
        <v>27</v>
      </c>
      <c r="C1740" s="421">
        <v>10</v>
      </c>
      <c r="D1740" s="41"/>
    </row>
    <row r="1741" spans="1:4">
      <c r="A1741" s="421" t="s">
        <v>534</v>
      </c>
      <c r="B1741" s="412">
        <f>VLOOKUP(B1731,'BANG LUONG 1'!$B$4:$AJ$55,13,0)</f>
        <v>4583509.615384615</v>
      </c>
      <c r="C1741" s="421">
        <v>11</v>
      </c>
      <c r="D1741" s="41"/>
    </row>
    <row r="1742" spans="1:4">
      <c r="A1742" s="421" t="s">
        <v>592</v>
      </c>
      <c r="B1742" s="412">
        <f>VLOOKUP(B1731,'BANG LUONG 1'!$B$4:$AJ$55,14,0)</f>
        <v>0</v>
      </c>
      <c r="C1742" s="421">
        <v>12</v>
      </c>
      <c r="D1742" s="41">
        <f>B1739/26*B1742</f>
        <v>0</v>
      </c>
    </row>
    <row r="1743" spans="1:4">
      <c r="A1743" s="421" t="s">
        <v>357</v>
      </c>
      <c r="B1743" s="412">
        <f>VLOOKUP(B1731,'BANG LUONG 1'!$B$4:$AJ$55,15,0)</f>
        <v>0</v>
      </c>
      <c r="C1743" s="421">
        <v>13</v>
      </c>
      <c r="D1743" s="41">
        <f>B1739/26/8*1.5*B1743</f>
        <v>0</v>
      </c>
    </row>
    <row r="1744" spans="1:4">
      <c r="A1744" s="421" t="s">
        <v>387</v>
      </c>
      <c r="B1744" s="412">
        <f>VLOOKUP(B1731,'BANG LUONG 1'!$B$4:$AJ$55,16,0)</f>
        <v>0</v>
      </c>
      <c r="C1744" s="421">
        <v>14</v>
      </c>
      <c r="D1744" s="41">
        <f>B1739/26/8*2*B1744</f>
        <v>0</v>
      </c>
    </row>
    <row r="1745" spans="1:5">
      <c r="A1745" s="421" t="s">
        <v>593</v>
      </c>
      <c r="B1745" s="412">
        <f>VLOOKUP(B1731,'BANG LUONG 1'!$B$4:$AJ$55,17,0)</f>
        <v>0</v>
      </c>
      <c r="C1745" s="421"/>
      <c r="D1745" s="41">
        <f>(B1739/26)*B1745</f>
        <v>0</v>
      </c>
    </row>
    <row r="1746" spans="1:5">
      <c r="A1746" s="421" t="s">
        <v>388</v>
      </c>
      <c r="B1746" s="412">
        <f>VLOOKUP(B1731,'BANG LUONG 1'!$B$4:$AJ$55,18,0)</f>
        <v>0</v>
      </c>
      <c r="C1746" s="421">
        <v>15</v>
      </c>
      <c r="D1746" s="41">
        <f>(B1739/26*B1746)*3</f>
        <v>0</v>
      </c>
    </row>
    <row r="1747" spans="1:5">
      <c r="A1747" s="421" t="s">
        <v>533</v>
      </c>
      <c r="B1747" s="412">
        <f>VLOOKUP(B1731,'BANG LUONG 1'!$B$4:$AJ$55,19,0)</f>
        <v>4583509.615384615</v>
      </c>
      <c r="C1747" s="183">
        <v>16</v>
      </c>
      <c r="D1747" s="185">
        <f>B1741+D1743+D1744+D1742+D1746+D1745</f>
        <v>4583509.615384615</v>
      </c>
      <c r="E1747" s="108"/>
    </row>
    <row r="1748" spans="1:5">
      <c r="A1748" s="421" t="s">
        <v>535</v>
      </c>
      <c r="B1748" s="412">
        <f>VLOOKUP(B1731,'BANG LUONG 1'!$B$4:$AJ$55,20,0)</f>
        <v>-4583509.615384615</v>
      </c>
      <c r="C1748" s="421">
        <v>17</v>
      </c>
      <c r="D1748" s="41"/>
    </row>
    <row r="1749" spans="1:5">
      <c r="A1749" s="421" t="s">
        <v>370</v>
      </c>
      <c r="B1749" s="412">
        <f>VLOOKUP(B1731,'BANG LUONG 1'!$B$4:$AJ$55,22,0)</f>
        <v>132412.5</v>
      </c>
      <c r="C1749" s="421">
        <v>18</v>
      </c>
      <c r="D1749" s="41"/>
    </row>
    <row r="1750" spans="1:5">
      <c r="A1750" s="421" t="s">
        <v>371</v>
      </c>
      <c r="B1750" s="412">
        <f>VLOOKUP(B1731,'BANG LUONG 1'!$B$4:$AJ$55,23,0)</f>
        <v>300000</v>
      </c>
      <c r="C1750" s="421">
        <v>19</v>
      </c>
      <c r="D1750" s="41"/>
    </row>
    <row r="1751" spans="1:5">
      <c r="A1751" s="421" t="s">
        <v>560</v>
      </c>
      <c r="B1751" s="412">
        <f>VLOOKUP(B1731,'BANG LUONG 1'!$B$4:$AJ$55,24,0)</f>
        <v>0</v>
      </c>
      <c r="C1751" s="421">
        <v>22</v>
      </c>
      <c r="D1751" s="41"/>
    </row>
    <row r="1752" spans="1:5">
      <c r="A1752" s="183" t="s">
        <v>237</v>
      </c>
      <c r="B1752" s="415">
        <f>VLOOKUP(B1731,'BANG LUONG 1'!$B$4:$AJ$55,26,0)</f>
        <v>432412.5</v>
      </c>
      <c r="C1752" s="421">
        <v>24</v>
      </c>
      <c r="D1752" s="41"/>
    </row>
    <row r="1753" spans="1:5">
      <c r="A1753" s="421" t="s">
        <v>545</v>
      </c>
      <c r="B1753" s="412">
        <f>VLOOKUP(B1731,'BANG LUONG 1'!$B$4:$AJ$55,27,0)</f>
        <v>4000000</v>
      </c>
      <c r="C1753" s="421">
        <v>25</v>
      </c>
      <c r="D1753" s="41"/>
    </row>
    <row r="1754" spans="1:5">
      <c r="A1754" s="421" t="s">
        <v>544</v>
      </c>
      <c r="B1754" s="412">
        <f>VLOOKUP(B1731,'BANG LUONG 1'!$B$4:$AJ$55,28,0)</f>
        <v>480585</v>
      </c>
      <c r="C1754" s="421">
        <v>26</v>
      </c>
      <c r="D1754" s="41"/>
    </row>
    <row r="1755" spans="1:5">
      <c r="A1755" s="421" t="s">
        <v>713</v>
      </c>
      <c r="B1755" s="415">
        <f>VLOOKUP(B1731,'BANG LUONG 1'!$B$4:$AJ$55,32,0)</f>
        <v>0</v>
      </c>
      <c r="C1755" s="421"/>
      <c r="D1755" s="41"/>
    </row>
    <row r="1756" spans="1:5">
      <c r="A1756" s="421" t="s">
        <v>714</v>
      </c>
      <c r="B1756" s="415">
        <f>VLOOKUP(B1731,'BANG LUONG 1'!$B$4:$AJ$55,33,0)</f>
        <v>0</v>
      </c>
      <c r="C1756" s="421"/>
      <c r="D1756" s="41"/>
    </row>
    <row r="1757" spans="1:5">
      <c r="A1757" s="183" t="s">
        <v>707</v>
      </c>
      <c r="B1757" s="415">
        <f>VLOOKUP(B1731,'BANG LUONG 1'!$B$4:$AJ$55,34,0)</f>
        <v>0</v>
      </c>
      <c r="C1757" s="421"/>
      <c r="D1757" s="41"/>
      <c r="E1757" s="108" t="str">
        <f>B1732</f>
        <v>Lê Minh Trọng</v>
      </c>
    </row>
    <row r="1758" spans="1:5">
      <c r="A1758" s="183" t="s">
        <v>546</v>
      </c>
      <c r="B1758" s="415">
        <f>VLOOKUP(B1731,'BANG LUONG 1'!$B$4:$AJ$55,35,0)</f>
        <v>-4048000</v>
      </c>
      <c r="C1758" s="421"/>
      <c r="D1758" s="41"/>
    </row>
    <row r="1759" spans="1:5">
      <c r="A1759" s="183"/>
      <c r="B1759" s="412"/>
      <c r="C1759" s="421">
        <v>27</v>
      </c>
      <c r="D1759" s="185"/>
    </row>
    <row r="1760" spans="1:5">
      <c r="A1760" s="184" t="s">
        <v>549</v>
      </c>
      <c r="B1760" s="424">
        <f>'BANG LUONG 1'!$P$2</f>
        <v>43702</v>
      </c>
    </row>
    <row r="1761" spans="1:4">
      <c r="A1761" s="183" t="s">
        <v>1</v>
      </c>
      <c r="B1761" s="185" t="s">
        <v>148</v>
      </c>
      <c r="C1761" s="421">
        <v>1</v>
      </c>
      <c r="D1761" s="41"/>
    </row>
    <row r="1762" spans="1:4">
      <c r="A1762" s="183" t="s">
        <v>2</v>
      </c>
      <c r="B1762" s="185" t="str">
        <f>VLOOKUP($B1761,'BANG LUONG 1'!$B$5:$AB$49,C1762,0)</f>
        <v>Nguyễn Văn Lâm</v>
      </c>
      <c r="C1762" s="421">
        <v>2</v>
      </c>
      <c r="D1762" s="41"/>
    </row>
    <row r="1763" spans="1:4">
      <c r="A1763" s="421" t="s">
        <v>3</v>
      </c>
      <c r="B1763" s="41" t="str">
        <f>VLOOKUP($B1761,'BANG LUONG 1'!$B$5:$AJ$47,C1763,0)</f>
        <v>Lái xe cơ giới</v>
      </c>
      <c r="C1763" s="421">
        <v>3</v>
      </c>
      <c r="D1763" s="41"/>
    </row>
    <row r="1764" spans="1:4">
      <c r="A1764" s="421" t="s">
        <v>376</v>
      </c>
      <c r="B1764" s="410">
        <f>VLOOKUP($B1761,'BANG LUONG 1'!$B$4:$AJ$55,4,0)</f>
        <v>41956</v>
      </c>
      <c r="C1764" s="421">
        <v>4</v>
      </c>
      <c r="D1764" s="41"/>
    </row>
    <row r="1765" spans="1:4">
      <c r="A1765" s="421" t="s">
        <v>698</v>
      </c>
      <c r="B1765" s="411">
        <f>VLOOKUP(B1761,'BANG LUONG 1'!$B$4:$AJ$55,6,0)</f>
        <v>0.04</v>
      </c>
      <c r="C1765" s="421">
        <v>5</v>
      </c>
      <c r="D1765" s="41"/>
    </row>
    <row r="1766" spans="1:4">
      <c r="A1766" s="421" t="s">
        <v>229</v>
      </c>
      <c r="B1766" s="412">
        <f>'thang luong moi'!$F$5</f>
        <v>4012500</v>
      </c>
      <c r="C1766" s="421">
        <v>6</v>
      </c>
      <c r="D1766" s="41"/>
    </row>
    <row r="1767" spans="1:4">
      <c r="A1767" s="421" t="s">
        <v>217</v>
      </c>
      <c r="B1767" s="412" t="str">
        <f>VLOOKUP(B1761,'BANG LUONG 1'!$B$4:$AJ$55,8,0)</f>
        <v>B.02</v>
      </c>
      <c r="C1767" s="421">
        <v>7</v>
      </c>
      <c r="D1767" s="41"/>
    </row>
    <row r="1768" spans="1:4">
      <c r="A1768" s="421" t="s">
        <v>230</v>
      </c>
      <c r="B1768" s="412">
        <f>VLOOKUP(B1761,'BANG LUONG 1'!$B$4:$AJ$55,9,0)</f>
        <v>1</v>
      </c>
      <c r="C1768" s="421">
        <v>8</v>
      </c>
      <c r="D1768" s="41"/>
    </row>
    <row r="1769" spans="1:4">
      <c r="A1769" s="421" t="s">
        <v>538</v>
      </c>
      <c r="B1769" s="412">
        <f>VLOOKUP(B1761,'BANG LUONG 1'!$B$4:$AJ$55,11,0)</f>
        <v>4413750</v>
      </c>
      <c r="C1769" s="421">
        <v>9</v>
      </c>
      <c r="D1769" s="41"/>
    </row>
    <row r="1770" spans="1:4">
      <c r="A1770" s="421" t="s">
        <v>354</v>
      </c>
      <c r="B1770" s="412">
        <f>VLOOKUP(B1761,'BANG LUONG 1'!$B$4:$AJ$55,12,0)</f>
        <v>27</v>
      </c>
      <c r="C1770" s="421">
        <v>10</v>
      </c>
      <c r="D1770" s="41"/>
    </row>
    <row r="1771" spans="1:4">
      <c r="A1771" s="421" t="s">
        <v>534</v>
      </c>
      <c r="B1771" s="412">
        <f>VLOOKUP(B1761,'BANG LUONG 1'!$B$4:$AJ$55,13,0)</f>
        <v>4583509.615384615</v>
      </c>
      <c r="C1771" s="421">
        <v>11</v>
      </c>
      <c r="D1771" s="41"/>
    </row>
    <row r="1772" spans="1:4">
      <c r="A1772" s="421" t="s">
        <v>592</v>
      </c>
      <c r="B1772" s="412">
        <f>VLOOKUP(B1761,'BANG LUONG 1'!$B$4:$AJ$55,14,0)</f>
        <v>0</v>
      </c>
      <c r="C1772" s="421">
        <v>12</v>
      </c>
      <c r="D1772" s="41">
        <f>B1769/26*B1772</f>
        <v>0</v>
      </c>
    </row>
    <row r="1773" spans="1:4">
      <c r="A1773" s="421" t="s">
        <v>357</v>
      </c>
      <c r="B1773" s="412">
        <f>VLOOKUP(B1761,'BANG LUONG 1'!$B$4:$AJ$55,15,0)</f>
        <v>0</v>
      </c>
      <c r="C1773" s="421">
        <v>13</v>
      </c>
      <c r="D1773" s="41">
        <f>B1769/26/8*1.5*B1773</f>
        <v>0</v>
      </c>
    </row>
    <row r="1774" spans="1:4">
      <c r="A1774" s="421" t="s">
        <v>387</v>
      </c>
      <c r="B1774" s="412">
        <f>VLOOKUP(B1761,'BANG LUONG 1'!$B$4:$AJ$55,16,0)</f>
        <v>0</v>
      </c>
      <c r="C1774" s="421">
        <v>14</v>
      </c>
      <c r="D1774" s="41">
        <f>B1769/26/8*2*B1774</f>
        <v>0</v>
      </c>
    </row>
    <row r="1775" spans="1:4">
      <c r="A1775" s="421" t="s">
        <v>593</v>
      </c>
      <c r="B1775" s="412">
        <f>VLOOKUP(B1761,'BANG LUONG 1'!$B$4:$AJ$55,17,0)</f>
        <v>0</v>
      </c>
      <c r="C1775" s="421"/>
      <c r="D1775" s="41">
        <f>(B1769/26)*B1775</f>
        <v>0</v>
      </c>
    </row>
    <row r="1776" spans="1:4">
      <c r="A1776" s="421" t="s">
        <v>388</v>
      </c>
      <c r="B1776" s="412">
        <f>VLOOKUP(B1761,'BANG LUONG 1'!$B$4:$AJ$55,18,0)</f>
        <v>0</v>
      </c>
      <c r="C1776" s="421">
        <v>15</v>
      </c>
      <c r="D1776" s="41">
        <f>(B1769/26*B1776)*3</f>
        <v>0</v>
      </c>
    </row>
    <row r="1777" spans="1:5">
      <c r="A1777" s="421" t="s">
        <v>533</v>
      </c>
      <c r="B1777" s="412">
        <f>VLOOKUP(B1761,'BANG LUONG 1'!$B$4:$AJ$55,19,0)</f>
        <v>4583509.615384615</v>
      </c>
      <c r="C1777" s="183">
        <v>16</v>
      </c>
      <c r="D1777" s="185">
        <f>B1771+D1773+D1774+D1772+D1776+D1775</f>
        <v>4583509.615384615</v>
      </c>
      <c r="E1777" s="108"/>
    </row>
    <row r="1778" spans="1:5">
      <c r="A1778" s="421" t="s">
        <v>535</v>
      </c>
      <c r="B1778" s="412">
        <f>VLOOKUP(B1761,'BANG LUONG 1'!$B$4:$AJ$55,20,0)</f>
        <v>-4583509.615384615</v>
      </c>
      <c r="C1778" s="421">
        <v>17</v>
      </c>
      <c r="D1778" s="41"/>
    </row>
    <row r="1779" spans="1:5">
      <c r="A1779" s="421" t="s">
        <v>370</v>
      </c>
      <c r="B1779" s="412">
        <f>VLOOKUP(B1761,'BANG LUONG 1'!$B$4:$AJ$55,22,0)</f>
        <v>176550</v>
      </c>
      <c r="C1779" s="421">
        <v>18</v>
      </c>
      <c r="D1779" s="41"/>
    </row>
    <row r="1780" spans="1:5">
      <c r="A1780" s="421" t="s">
        <v>371</v>
      </c>
      <c r="B1780" s="412">
        <f>VLOOKUP(B1761,'BANG LUONG 1'!$B$4:$AJ$55,23,0)</f>
        <v>300000</v>
      </c>
      <c r="C1780" s="421">
        <v>19</v>
      </c>
      <c r="D1780" s="41"/>
    </row>
    <row r="1781" spans="1:5">
      <c r="A1781" s="421" t="s">
        <v>560</v>
      </c>
      <c r="B1781" s="412">
        <f>VLOOKUP(B1761,'BANG LUONG 1'!$B$4:$AJ$55,24,0)</f>
        <v>0</v>
      </c>
      <c r="C1781" s="421">
        <v>22</v>
      </c>
      <c r="D1781" s="41"/>
    </row>
    <row r="1782" spans="1:5">
      <c r="A1782" s="183" t="s">
        <v>237</v>
      </c>
      <c r="B1782" s="415">
        <f>VLOOKUP(B1761,'BANG LUONG 1'!$B$4:$AJ$55,26,0)</f>
        <v>476550</v>
      </c>
      <c r="C1782" s="421">
        <v>24</v>
      </c>
      <c r="D1782" s="41"/>
    </row>
    <row r="1783" spans="1:5">
      <c r="A1783" s="421" t="s">
        <v>545</v>
      </c>
      <c r="B1783" s="412">
        <f>VLOOKUP(B1761,'BANG LUONG 1'!$B$4:$AJ$55,27,0)</f>
        <v>3500000</v>
      </c>
      <c r="C1783" s="421">
        <v>25</v>
      </c>
      <c r="D1783" s="41"/>
    </row>
    <row r="1784" spans="1:5">
      <c r="A1784" s="421" t="s">
        <v>544</v>
      </c>
      <c r="B1784" s="412">
        <f>VLOOKUP(B1761,'BANG LUONG 1'!$B$4:$AJ$55,28,0)</f>
        <v>480585</v>
      </c>
      <c r="C1784" s="421">
        <v>26</v>
      </c>
      <c r="D1784" s="41"/>
    </row>
    <row r="1785" spans="1:5">
      <c r="A1785" s="421" t="s">
        <v>713</v>
      </c>
      <c r="B1785" s="415">
        <f>VLOOKUP(B1761,'BANG LUONG 1'!$B$4:$AJ$55,32,0)</f>
        <v>0</v>
      </c>
      <c r="C1785" s="421"/>
      <c r="D1785" s="41"/>
    </row>
    <row r="1786" spans="1:5">
      <c r="A1786" s="421" t="s">
        <v>714</v>
      </c>
      <c r="B1786" s="415">
        <f>VLOOKUP(B1761,'BANG LUONG 1'!$B$4:$AJ$55,33,0)</f>
        <v>0</v>
      </c>
      <c r="C1786" s="421"/>
      <c r="D1786" s="41"/>
    </row>
    <row r="1787" spans="1:5">
      <c r="A1787" s="183" t="s">
        <v>707</v>
      </c>
      <c r="B1787" s="415">
        <f>VLOOKUP(B1761,'BANG LUONG 1'!$B$4:$AJ$55,34,0)</f>
        <v>0</v>
      </c>
      <c r="C1787" s="421"/>
      <c r="D1787" s="41"/>
      <c r="E1787" s="108" t="str">
        <f>B1762</f>
        <v>Nguyễn Văn Lâm</v>
      </c>
    </row>
    <row r="1788" spans="1:5">
      <c r="A1788" s="183" t="s">
        <v>546</v>
      </c>
      <c r="B1788" s="415">
        <f>VLOOKUP(B1761,'BANG LUONG 1'!$B$4:$AJ$55,35,0)</f>
        <v>-3504000</v>
      </c>
      <c r="C1788" s="421"/>
      <c r="D1788" s="41"/>
    </row>
    <row r="1789" spans="1:5">
      <c r="A1789" s="183"/>
      <c r="B1789" s="412"/>
      <c r="C1789" s="421">
        <v>27</v>
      </c>
      <c r="D1789" s="185"/>
    </row>
    <row r="1790" spans="1:5">
      <c r="A1790" s="184" t="s">
        <v>549</v>
      </c>
      <c r="B1790" s="424">
        <f>'BANG LUONG 1'!$P$2</f>
        <v>43702</v>
      </c>
    </row>
    <row r="1791" spans="1:5">
      <c r="A1791" s="183" t="s">
        <v>1</v>
      </c>
      <c r="B1791" s="185" t="s">
        <v>148</v>
      </c>
      <c r="C1791" s="421">
        <v>1</v>
      </c>
      <c r="D1791" s="41"/>
    </row>
    <row r="1792" spans="1:5">
      <c r="A1792" s="183" t="s">
        <v>2</v>
      </c>
      <c r="B1792" s="185" t="str">
        <f>VLOOKUP($B1791,'BANG LUONG 1'!$B$5:$AB$49,C1792,0)</f>
        <v>Nguyễn Văn Lâm</v>
      </c>
      <c r="C1792" s="421">
        <v>2</v>
      </c>
      <c r="D1792" s="41"/>
    </row>
    <row r="1793" spans="1:5">
      <c r="A1793" s="421" t="s">
        <v>3</v>
      </c>
      <c r="B1793" s="41" t="str">
        <f>VLOOKUP($B1791,'BANG LUONG 1'!$B$5:$AJ$47,C1793,0)</f>
        <v>Lái xe cơ giới</v>
      </c>
      <c r="C1793" s="421">
        <v>3</v>
      </c>
      <c r="D1793" s="41"/>
    </row>
    <row r="1794" spans="1:5">
      <c r="A1794" s="421" t="s">
        <v>376</v>
      </c>
      <c r="B1794" s="410">
        <f>VLOOKUP($B1791,'BANG LUONG 1'!$B$4:$AJ$55,4,0)</f>
        <v>41956</v>
      </c>
      <c r="C1794" s="421">
        <v>4</v>
      </c>
      <c r="D1794" s="41"/>
    </row>
    <row r="1795" spans="1:5">
      <c r="A1795" s="421" t="s">
        <v>698</v>
      </c>
      <c r="B1795" s="411">
        <f>VLOOKUP(B1791,'BANG LUONG 1'!$B$4:$AJ$55,6,0)</f>
        <v>0.04</v>
      </c>
      <c r="C1795" s="421">
        <v>5</v>
      </c>
      <c r="D1795" s="41"/>
    </row>
    <row r="1796" spans="1:5">
      <c r="A1796" s="421" t="s">
        <v>229</v>
      </c>
      <c r="B1796" s="412">
        <f>'thang luong moi'!$F$5</f>
        <v>4012500</v>
      </c>
      <c r="C1796" s="421">
        <v>6</v>
      </c>
      <c r="D1796" s="41"/>
    </row>
    <row r="1797" spans="1:5">
      <c r="A1797" s="421" t="s">
        <v>217</v>
      </c>
      <c r="B1797" s="412" t="str">
        <f>VLOOKUP(B1791,'BANG LUONG 1'!$B$4:$AJ$55,8,0)</f>
        <v>B.02</v>
      </c>
      <c r="C1797" s="421">
        <v>7</v>
      </c>
      <c r="D1797" s="41"/>
    </row>
    <row r="1798" spans="1:5">
      <c r="A1798" s="421" t="s">
        <v>230</v>
      </c>
      <c r="B1798" s="412">
        <f>VLOOKUP(B1791,'BANG LUONG 1'!$B$4:$AJ$55,9,0)</f>
        <v>1</v>
      </c>
      <c r="C1798" s="421">
        <v>8</v>
      </c>
      <c r="D1798" s="41"/>
    </row>
    <row r="1799" spans="1:5">
      <c r="A1799" s="421" t="s">
        <v>538</v>
      </c>
      <c r="B1799" s="412">
        <f>VLOOKUP(B1791,'BANG LUONG 1'!$B$4:$AJ$55,11,0)</f>
        <v>4413750</v>
      </c>
      <c r="C1799" s="421">
        <v>9</v>
      </c>
      <c r="D1799" s="41"/>
    </row>
    <row r="1800" spans="1:5">
      <c r="A1800" s="421" t="s">
        <v>354</v>
      </c>
      <c r="B1800" s="412">
        <f>VLOOKUP(B1791,'BANG LUONG 1'!$B$4:$AJ$55,12,0)</f>
        <v>27</v>
      </c>
      <c r="C1800" s="421">
        <v>10</v>
      </c>
      <c r="D1800" s="41"/>
    </row>
    <row r="1801" spans="1:5">
      <c r="A1801" s="421" t="s">
        <v>534</v>
      </c>
      <c r="B1801" s="412">
        <f>VLOOKUP(B1791,'BANG LUONG 1'!$B$4:$AJ$55,13,0)</f>
        <v>4583509.615384615</v>
      </c>
      <c r="C1801" s="421">
        <v>11</v>
      </c>
      <c r="D1801" s="41"/>
    </row>
    <row r="1802" spans="1:5">
      <c r="A1802" s="421" t="s">
        <v>592</v>
      </c>
      <c r="B1802" s="412">
        <f>VLOOKUP(B1791,'BANG LUONG 1'!$B$4:$AJ$55,14,0)</f>
        <v>0</v>
      </c>
      <c r="C1802" s="421">
        <v>12</v>
      </c>
      <c r="D1802" s="41">
        <f>B1799/26*B1802</f>
        <v>0</v>
      </c>
    </row>
    <row r="1803" spans="1:5">
      <c r="A1803" s="421" t="s">
        <v>357</v>
      </c>
      <c r="B1803" s="412">
        <f>VLOOKUP(B1791,'BANG LUONG 1'!$B$4:$AJ$55,15,0)</f>
        <v>0</v>
      </c>
      <c r="C1803" s="421">
        <v>13</v>
      </c>
      <c r="D1803" s="41">
        <f>B1799/26/8*1.5*B1803</f>
        <v>0</v>
      </c>
    </row>
    <row r="1804" spans="1:5">
      <c r="A1804" s="421" t="s">
        <v>387</v>
      </c>
      <c r="B1804" s="412">
        <f>VLOOKUP(B1791,'BANG LUONG 1'!$B$4:$AJ$55,16,0)</f>
        <v>0</v>
      </c>
      <c r="C1804" s="421">
        <v>14</v>
      </c>
      <c r="D1804" s="41">
        <f>B1799/26/8*2*B1804</f>
        <v>0</v>
      </c>
    </row>
    <row r="1805" spans="1:5">
      <c r="A1805" s="421" t="s">
        <v>593</v>
      </c>
      <c r="B1805" s="412">
        <f>VLOOKUP(B1791,'BANG LUONG 1'!$B$4:$AJ$55,17,0)</f>
        <v>0</v>
      </c>
      <c r="C1805" s="421"/>
      <c r="D1805" s="41">
        <f>(B1799/26)*B1805</f>
        <v>0</v>
      </c>
    </row>
    <row r="1806" spans="1:5">
      <c r="A1806" s="421" t="s">
        <v>388</v>
      </c>
      <c r="B1806" s="412">
        <f>VLOOKUP(B1791,'BANG LUONG 1'!$B$4:$AJ$55,18,0)</f>
        <v>0</v>
      </c>
      <c r="C1806" s="421">
        <v>15</v>
      </c>
      <c r="D1806" s="41">
        <f>(B1799/26*B1806)*3</f>
        <v>0</v>
      </c>
    </row>
    <row r="1807" spans="1:5">
      <c r="A1807" s="421" t="s">
        <v>533</v>
      </c>
      <c r="B1807" s="412">
        <f>VLOOKUP(B1791,'BANG LUONG 1'!$B$4:$AJ$55,19,0)</f>
        <v>4583509.615384615</v>
      </c>
      <c r="C1807" s="183">
        <v>16</v>
      </c>
      <c r="D1807" s="185">
        <f>B1801+D1803+D1804+D1802+D1806+D1805</f>
        <v>4583509.615384615</v>
      </c>
      <c r="E1807" s="108"/>
    </row>
    <row r="1808" spans="1:5">
      <c r="A1808" s="421" t="s">
        <v>535</v>
      </c>
      <c r="B1808" s="412">
        <f>VLOOKUP(B1791,'BANG LUONG 1'!$B$4:$AJ$55,20,0)</f>
        <v>-4583509.615384615</v>
      </c>
      <c r="C1808" s="421">
        <v>17</v>
      </c>
      <c r="D1808" s="41"/>
    </row>
    <row r="1809" spans="1:5">
      <c r="A1809" s="421" t="s">
        <v>370</v>
      </c>
      <c r="B1809" s="412">
        <f>VLOOKUP(B1791,'BANG LUONG 1'!$B$4:$AJ$55,22,0)</f>
        <v>176550</v>
      </c>
      <c r="C1809" s="421">
        <v>18</v>
      </c>
      <c r="D1809" s="41"/>
    </row>
    <row r="1810" spans="1:5">
      <c r="A1810" s="421" t="s">
        <v>371</v>
      </c>
      <c r="B1810" s="412">
        <f>VLOOKUP(B1791,'BANG LUONG 1'!$B$4:$AJ$55,23,0)</f>
        <v>300000</v>
      </c>
      <c r="C1810" s="421">
        <v>19</v>
      </c>
      <c r="D1810" s="41"/>
    </row>
    <row r="1811" spans="1:5">
      <c r="A1811" s="421" t="s">
        <v>560</v>
      </c>
      <c r="B1811" s="412">
        <f>VLOOKUP(B1791,'BANG LUONG 1'!$B$4:$AJ$55,24,0)</f>
        <v>0</v>
      </c>
      <c r="C1811" s="421">
        <v>22</v>
      </c>
      <c r="D1811" s="41"/>
    </row>
    <row r="1812" spans="1:5">
      <c r="A1812" s="183" t="s">
        <v>237</v>
      </c>
      <c r="B1812" s="415">
        <f>VLOOKUP(B1791,'BANG LUONG 1'!$B$4:$AJ$55,26,0)</f>
        <v>476550</v>
      </c>
      <c r="C1812" s="421">
        <v>24</v>
      </c>
      <c r="D1812" s="41"/>
    </row>
    <row r="1813" spans="1:5">
      <c r="A1813" s="421" t="s">
        <v>545</v>
      </c>
      <c r="B1813" s="412">
        <f>VLOOKUP(B1791,'BANG LUONG 1'!$B$4:$AJ$55,27,0)</f>
        <v>3500000</v>
      </c>
      <c r="C1813" s="421">
        <v>25</v>
      </c>
      <c r="D1813" s="41"/>
    </row>
    <row r="1814" spans="1:5">
      <c r="A1814" s="421" t="s">
        <v>544</v>
      </c>
      <c r="B1814" s="412">
        <f>VLOOKUP(B1791,'BANG LUONG 1'!$B$4:$AJ$55,28,0)</f>
        <v>480585</v>
      </c>
      <c r="C1814" s="421">
        <v>26</v>
      </c>
      <c r="D1814" s="41"/>
    </row>
    <row r="1815" spans="1:5">
      <c r="A1815" s="421" t="s">
        <v>713</v>
      </c>
      <c r="B1815" s="415">
        <f>VLOOKUP(B1791,'BANG LUONG 1'!$B$4:$AJ$55,32,0)</f>
        <v>0</v>
      </c>
      <c r="C1815" s="421"/>
      <c r="D1815" s="41"/>
    </row>
    <row r="1816" spans="1:5">
      <c r="A1816" s="421" t="s">
        <v>714</v>
      </c>
      <c r="B1816" s="415">
        <f>VLOOKUP(B1791,'BANG LUONG 1'!$B$4:$AJ$55,33,0)</f>
        <v>0</v>
      </c>
      <c r="C1816" s="421"/>
      <c r="D1816" s="41"/>
    </row>
    <row r="1817" spans="1:5">
      <c r="A1817" s="183" t="s">
        <v>707</v>
      </c>
      <c r="B1817" s="415">
        <f>VLOOKUP(B1791,'BANG LUONG 1'!$B$4:$AJ$55,34,0)</f>
        <v>0</v>
      </c>
      <c r="C1817" s="421"/>
      <c r="D1817" s="41"/>
      <c r="E1817" s="108" t="str">
        <f>B1792</f>
        <v>Nguyễn Văn Lâm</v>
      </c>
    </row>
    <row r="1818" spans="1:5">
      <c r="A1818" s="183" t="s">
        <v>546</v>
      </c>
      <c r="B1818" s="415">
        <f>VLOOKUP(B1791,'BANG LUONG 1'!$B$4:$AJ$55,35,0)</f>
        <v>-3504000</v>
      </c>
      <c r="C1818" s="421"/>
      <c r="D1818" s="41"/>
    </row>
    <row r="1819" spans="1:5">
      <c r="A1819" s="183"/>
      <c r="B1819" s="412"/>
      <c r="C1819" s="421">
        <v>27</v>
      </c>
      <c r="D1819" s="185"/>
    </row>
    <row r="1820" spans="1:5">
      <c r="A1820" s="184" t="s">
        <v>549</v>
      </c>
      <c r="B1820" s="424">
        <f>'BANG LUONG 1'!$P$2</f>
        <v>43702</v>
      </c>
    </row>
    <row r="1821" spans="1:5">
      <c r="A1821" s="183" t="s">
        <v>1</v>
      </c>
      <c r="B1821" s="185" t="s">
        <v>149</v>
      </c>
      <c r="C1821" s="421">
        <v>1</v>
      </c>
      <c r="D1821" s="41"/>
    </row>
    <row r="1822" spans="1:5">
      <c r="A1822" s="183" t="s">
        <v>2</v>
      </c>
      <c r="B1822" s="185" t="str">
        <f>VLOOKUP($B1821,'BANG LUONG 1'!$B$5:$AB$47,C1822,0)</f>
        <v>Lương Minh Tâm</v>
      </c>
      <c r="C1822" s="421">
        <v>2</v>
      </c>
      <c r="D1822" s="41"/>
    </row>
    <row r="1823" spans="1:5">
      <c r="A1823" s="421" t="s">
        <v>3</v>
      </c>
      <c r="B1823" s="41" t="str">
        <f>VLOOKUP($B1821,'BANG LUONG 1'!$B$5:$AJ$47,C1823,0)</f>
        <v>Vận hành xe xúc BH</v>
      </c>
      <c r="C1823" s="421">
        <v>3</v>
      </c>
      <c r="D1823" s="41"/>
    </row>
    <row r="1824" spans="1:5">
      <c r="A1824" s="421" t="s">
        <v>376</v>
      </c>
      <c r="B1824" s="410">
        <f>VLOOKUP($B1821,'BANG LUONG 1'!$B$4:$AJ$55,4,0)</f>
        <v>42766</v>
      </c>
      <c r="C1824" s="421">
        <v>4</v>
      </c>
      <c r="D1824" s="41"/>
    </row>
    <row r="1825" spans="1:5">
      <c r="A1825" s="421" t="s">
        <v>698</v>
      </c>
      <c r="B1825" s="411">
        <f>VLOOKUP(B1821,'BANG LUONG 1'!$B$4:$AJ$55,6,0)</f>
        <v>0</v>
      </c>
      <c r="C1825" s="421">
        <v>5</v>
      </c>
      <c r="D1825" s="41"/>
    </row>
    <row r="1826" spans="1:5">
      <c r="A1826" s="421" t="s">
        <v>229</v>
      </c>
      <c r="B1826" s="412">
        <f>'thang luong moi'!$F$5</f>
        <v>4012500</v>
      </c>
      <c r="C1826" s="421">
        <v>6</v>
      </c>
      <c r="D1826" s="41"/>
    </row>
    <row r="1827" spans="1:5">
      <c r="A1827" s="421" t="s">
        <v>217</v>
      </c>
      <c r="B1827" s="412" t="str">
        <f>VLOOKUP(B1821,'BANG LUONG 1'!$B$4:$AJ$55,8,0)</f>
        <v>B.02</v>
      </c>
      <c r="C1827" s="421">
        <v>7</v>
      </c>
      <c r="D1827" s="41"/>
    </row>
    <row r="1828" spans="1:5">
      <c r="A1828" s="421" t="s">
        <v>230</v>
      </c>
      <c r="B1828" s="412">
        <f>VLOOKUP(B1821,'BANG LUONG 1'!$B$4:$AJ$55,9,0)</f>
        <v>1</v>
      </c>
      <c r="C1828" s="421">
        <v>8</v>
      </c>
      <c r="D1828" s="41"/>
    </row>
    <row r="1829" spans="1:5">
      <c r="A1829" s="421" t="s">
        <v>538</v>
      </c>
      <c r="B1829" s="412">
        <f>VLOOKUP(B1821,'BANG LUONG 1'!$B$4:$AJ$55,11,0)</f>
        <v>4413750</v>
      </c>
      <c r="C1829" s="421">
        <v>9</v>
      </c>
      <c r="D1829" s="41"/>
    </row>
    <row r="1830" spans="1:5">
      <c r="A1830" s="421" t="s">
        <v>354</v>
      </c>
      <c r="B1830" s="412">
        <f>VLOOKUP(B1821,'BANG LUONG 1'!$B$4:$AJ$55,12,0)</f>
        <v>27</v>
      </c>
      <c r="C1830" s="421">
        <v>10</v>
      </c>
      <c r="D1830" s="41"/>
    </row>
    <row r="1831" spans="1:5">
      <c r="A1831" s="421" t="s">
        <v>534</v>
      </c>
      <c r="B1831" s="412">
        <f>VLOOKUP(B1821,'BANG LUONG 1'!$B$4:$AJ$55,13,0)</f>
        <v>4583509.615384615</v>
      </c>
      <c r="C1831" s="421">
        <v>11</v>
      </c>
      <c r="D1831" s="41"/>
    </row>
    <row r="1832" spans="1:5">
      <c r="A1832" s="421" t="s">
        <v>592</v>
      </c>
      <c r="B1832" s="412">
        <f>VLOOKUP(B1821,'BANG LUONG 1'!$B$4:$AJ$55,14,0)</f>
        <v>0</v>
      </c>
      <c r="C1832" s="421">
        <v>12</v>
      </c>
      <c r="D1832" s="41">
        <f>B1829/26*B1832</f>
        <v>0</v>
      </c>
    </row>
    <row r="1833" spans="1:5">
      <c r="A1833" s="421" t="s">
        <v>357</v>
      </c>
      <c r="B1833" s="412">
        <f>VLOOKUP(B1821,'BANG LUONG 1'!$B$4:$AJ$55,15,0)</f>
        <v>0</v>
      </c>
      <c r="C1833" s="421">
        <v>13</v>
      </c>
      <c r="D1833" s="41">
        <f>B1829/26/8*1.5*B1833</f>
        <v>0</v>
      </c>
    </row>
    <row r="1834" spans="1:5">
      <c r="A1834" s="421" t="s">
        <v>387</v>
      </c>
      <c r="B1834" s="412">
        <f>VLOOKUP(B1821,'BANG LUONG 1'!$B$4:$AJ$55,16,0)</f>
        <v>0</v>
      </c>
      <c r="C1834" s="421">
        <v>14</v>
      </c>
      <c r="D1834" s="41">
        <f>B1829/26/8*2*B1834</f>
        <v>0</v>
      </c>
    </row>
    <row r="1835" spans="1:5">
      <c r="A1835" s="421" t="s">
        <v>593</v>
      </c>
      <c r="B1835" s="412">
        <f>VLOOKUP(B1821,'BANG LUONG 1'!$B$4:$AJ$55,17,0)</f>
        <v>0</v>
      </c>
      <c r="C1835" s="421"/>
      <c r="D1835" s="41">
        <f>(B1829/26)*B1835</f>
        <v>0</v>
      </c>
    </row>
    <row r="1836" spans="1:5">
      <c r="A1836" s="421" t="s">
        <v>388</v>
      </c>
      <c r="B1836" s="412">
        <f>VLOOKUP(B1821,'BANG LUONG 1'!$B$4:$AJ$55,18,0)</f>
        <v>0</v>
      </c>
      <c r="C1836" s="421">
        <v>15</v>
      </c>
      <c r="D1836" s="41">
        <f>(B1829/26*B1836)*3</f>
        <v>0</v>
      </c>
    </row>
    <row r="1837" spans="1:5">
      <c r="A1837" s="421" t="s">
        <v>533</v>
      </c>
      <c r="B1837" s="412">
        <f>VLOOKUP(B1821,'BANG LUONG 1'!$B$4:$AJ$55,19,0)</f>
        <v>4583509.615384615</v>
      </c>
      <c r="C1837" s="183">
        <v>16</v>
      </c>
      <c r="D1837" s="185">
        <f>B1831+D1833+D1834+D1832+D1836+D1835</f>
        <v>4583509.615384615</v>
      </c>
      <c r="E1837" s="108"/>
    </row>
    <row r="1838" spans="1:5">
      <c r="A1838" s="421" t="s">
        <v>535</v>
      </c>
      <c r="B1838" s="412">
        <f>VLOOKUP(B1821,'BANG LUONG 1'!$B$4:$AJ$55,20,0)</f>
        <v>-4583509.615384615</v>
      </c>
      <c r="C1838" s="421">
        <v>17</v>
      </c>
      <c r="D1838" s="41"/>
    </row>
    <row r="1839" spans="1:5">
      <c r="A1839" s="421" t="s">
        <v>370</v>
      </c>
      <c r="B1839" s="412">
        <f>VLOOKUP(B1821,'BANG LUONG 1'!$B$4:$AJ$55,22,0)</f>
        <v>0</v>
      </c>
      <c r="C1839" s="421">
        <v>18</v>
      </c>
      <c r="D1839" s="41"/>
    </row>
    <row r="1840" spans="1:5">
      <c r="A1840" s="421" t="s">
        <v>371</v>
      </c>
      <c r="B1840" s="412">
        <f>VLOOKUP(B1821,'BANG LUONG 1'!$B$4:$AJ$55,23,0)</f>
        <v>300000</v>
      </c>
      <c r="C1840" s="421">
        <v>19</v>
      </c>
      <c r="D1840" s="41"/>
    </row>
    <row r="1841" spans="1:5">
      <c r="A1841" s="421" t="s">
        <v>560</v>
      </c>
      <c r="B1841" s="412">
        <f>VLOOKUP(B1821,'BANG LUONG 1'!$B$4:$AJ$55,24,0)</f>
        <v>0</v>
      </c>
      <c r="C1841" s="421">
        <v>22</v>
      </c>
      <c r="D1841" s="41"/>
    </row>
    <row r="1842" spans="1:5">
      <c r="A1842" s="183" t="s">
        <v>237</v>
      </c>
      <c r="B1842" s="415">
        <f>VLOOKUP(B1821,'BANG LUONG 1'!$B$4:$AJ$55,26,0)</f>
        <v>300000</v>
      </c>
      <c r="C1842" s="421">
        <v>24</v>
      </c>
      <c r="D1842" s="41"/>
    </row>
    <row r="1843" spans="1:5">
      <c r="A1843" s="421" t="s">
        <v>545</v>
      </c>
      <c r="B1843" s="412">
        <f>VLOOKUP(B1821,'BANG LUONG 1'!$B$4:$AJ$55,27,0)</f>
        <v>4000000</v>
      </c>
      <c r="C1843" s="421">
        <v>25</v>
      </c>
      <c r="D1843" s="41"/>
    </row>
    <row r="1844" spans="1:5">
      <c r="A1844" s="421" t="s">
        <v>544</v>
      </c>
      <c r="B1844" s="412">
        <f>VLOOKUP(B1821,'BANG LUONG 1'!$B$4:$AJ$55,28,0)</f>
        <v>480585</v>
      </c>
      <c r="C1844" s="421">
        <v>26</v>
      </c>
      <c r="D1844" s="41"/>
    </row>
    <row r="1845" spans="1:5">
      <c r="A1845" s="421" t="s">
        <v>713</v>
      </c>
      <c r="B1845" s="415">
        <f>VLOOKUP(B1821,'BANG LUONG 1'!$B$4:$AJ$55,32,0)</f>
        <v>0</v>
      </c>
      <c r="C1845" s="421"/>
      <c r="D1845" s="41"/>
    </row>
    <row r="1846" spans="1:5">
      <c r="A1846" s="421" t="s">
        <v>714</v>
      </c>
      <c r="B1846" s="415">
        <f>VLOOKUP(B1821,'BANG LUONG 1'!$B$4:$AJ$55,33,0)</f>
        <v>0</v>
      </c>
      <c r="C1846" s="421"/>
      <c r="D1846" s="41"/>
    </row>
    <row r="1847" spans="1:5">
      <c r="A1847" s="183" t="s">
        <v>707</v>
      </c>
      <c r="B1847" s="415">
        <f>VLOOKUP(B1821,'BANG LUONG 1'!$B$4:$AJ$55,34,0)</f>
        <v>0</v>
      </c>
      <c r="C1847" s="421"/>
      <c r="D1847" s="41"/>
      <c r="E1847" s="108" t="str">
        <f>B1822</f>
        <v>Lương Minh Tâm</v>
      </c>
    </row>
    <row r="1848" spans="1:5">
      <c r="A1848" s="183" t="s">
        <v>546</v>
      </c>
      <c r="B1848" s="415">
        <f>VLOOKUP(B1821,'BANG LUONG 1'!$B$4:$AJ$55,35,0)</f>
        <v>-4181000</v>
      </c>
      <c r="C1848" s="421"/>
      <c r="D1848" s="41"/>
    </row>
    <row r="1849" spans="1:5">
      <c r="A1849" s="183"/>
      <c r="B1849" s="412"/>
      <c r="C1849" s="421">
        <v>27</v>
      </c>
      <c r="D1849" s="185"/>
    </row>
    <row r="1850" spans="1:5">
      <c r="A1850" s="184" t="s">
        <v>549</v>
      </c>
      <c r="B1850" s="424">
        <f>'BANG LUONG 1'!$P$2</f>
        <v>43702</v>
      </c>
    </row>
    <row r="1851" spans="1:5">
      <c r="A1851" s="183" t="s">
        <v>1</v>
      </c>
      <c r="B1851" s="185" t="s">
        <v>150</v>
      </c>
      <c r="C1851" s="421">
        <v>1</v>
      </c>
      <c r="D1851" s="41"/>
    </row>
    <row r="1852" spans="1:5">
      <c r="A1852" s="183" t="s">
        <v>2</v>
      </c>
      <c r="B1852" s="185" t="str">
        <f>VLOOKUP($B1851,'BANG LUONG 1'!$B$5:$AB$47,C1852,0)</f>
        <v>Nguyễn Thành Tài</v>
      </c>
      <c r="C1852" s="421">
        <v>2</v>
      </c>
      <c r="D1852" s="41"/>
    </row>
    <row r="1853" spans="1:5">
      <c r="A1853" s="421" t="s">
        <v>3</v>
      </c>
      <c r="B1853" s="41" t="str">
        <f>VLOOKUP($B1851,'BANG LUONG 1'!$B$5:$AJ$47,C1853,0)</f>
        <v>Lái xe nâng</v>
      </c>
      <c r="C1853" s="421">
        <v>3</v>
      </c>
      <c r="D1853" s="41"/>
    </row>
    <row r="1854" spans="1:5">
      <c r="A1854" s="421" t="s">
        <v>376</v>
      </c>
      <c r="B1854" s="410">
        <f>VLOOKUP($B1851,'BANG LUONG 1'!$B$4:$AJ$55,4,0)</f>
        <v>42415</v>
      </c>
      <c r="C1854" s="421">
        <v>4</v>
      </c>
      <c r="D1854" s="41"/>
    </row>
    <row r="1855" spans="1:5">
      <c r="A1855" s="421" t="s">
        <v>698</v>
      </c>
      <c r="B1855" s="411">
        <f>VLOOKUP(B1851,'BANG LUONG 1'!$B$4:$AJ$55,6,0)</f>
        <v>0.03</v>
      </c>
      <c r="C1855" s="421">
        <v>5</v>
      </c>
      <c r="D1855" s="41"/>
    </row>
    <row r="1856" spans="1:5">
      <c r="A1856" s="421" t="s">
        <v>229</v>
      </c>
      <c r="B1856" s="412">
        <f>'thang luong moi'!$F$5</f>
        <v>4012500</v>
      </c>
      <c r="C1856" s="421">
        <v>6</v>
      </c>
      <c r="D1856" s="41"/>
    </row>
    <row r="1857" spans="1:5">
      <c r="A1857" s="421" t="s">
        <v>217</v>
      </c>
      <c r="B1857" s="412" t="str">
        <f>VLOOKUP(B1851,'BANG LUONG 1'!$B$4:$AJ$55,8,0)</f>
        <v>B.02</v>
      </c>
      <c r="C1857" s="421">
        <v>7</v>
      </c>
      <c r="D1857" s="41"/>
    </row>
    <row r="1858" spans="1:5">
      <c r="A1858" s="421" t="s">
        <v>230</v>
      </c>
      <c r="B1858" s="412">
        <f>VLOOKUP(B1851,'BANG LUONG 1'!$B$4:$AJ$55,9,0)</f>
        <v>1</v>
      </c>
      <c r="C1858" s="421">
        <v>8</v>
      </c>
      <c r="D1858" s="41"/>
    </row>
    <row r="1859" spans="1:5">
      <c r="A1859" s="421" t="s">
        <v>538</v>
      </c>
      <c r="B1859" s="412">
        <f>VLOOKUP(B1851,'BANG LUONG 1'!$B$4:$AJ$55,11,0)</f>
        <v>4413750</v>
      </c>
      <c r="C1859" s="421">
        <v>9</v>
      </c>
      <c r="D1859" s="41"/>
    </row>
    <row r="1860" spans="1:5">
      <c r="A1860" s="421" t="s">
        <v>354</v>
      </c>
      <c r="B1860" s="412">
        <f>VLOOKUP(B1851,'BANG LUONG 1'!$B$4:$AJ$55,12,0)</f>
        <v>27</v>
      </c>
      <c r="C1860" s="421">
        <v>10</v>
      </c>
      <c r="D1860" s="41"/>
    </row>
    <row r="1861" spans="1:5">
      <c r="A1861" s="421" t="s">
        <v>534</v>
      </c>
      <c r="B1861" s="412">
        <f>VLOOKUP(B1851,'BANG LUONG 1'!$B$4:$AJ$55,13,0)</f>
        <v>4583509.615384615</v>
      </c>
      <c r="C1861" s="421">
        <v>11</v>
      </c>
      <c r="D1861" s="41"/>
    </row>
    <row r="1862" spans="1:5">
      <c r="A1862" s="421" t="s">
        <v>592</v>
      </c>
      <c r="B1862" s="412">
        <f>VLOOKUP(B1851,'BANG LUONG 1'!$B$4:$AJ$55,14,0)</f>
        <v>0</v>
      </c>
      <c r="C1862" s="421">
        <v>12</v>
      </c>
      <c r="D1862" s="41">
        <f>B1859/26*B1862</f>
        <v>0</v>
      </c>
    </row>
    <row r="1863" spans="1:5">
      <c r="A1863" s="421" t="s">
        <v>357</v>
      </c>
      <c r="B1863" s="412">
        <f>VLOOKUP(B1851,'BANG LUONG 1'!$B$4:$AJ$55,15,0)</f>
        <v>0</v>
      </c>
      <c r="C1863" s="421">
        <v>13</v>
      </c>
      <c r="D1863" s="41">
        <f>B1859/26/8*1.5*B1863</f>
        <v>0</v>
      </c>
    </row>
    <row r="1864" spans="1:5">
      <c r="A1864" s="421" t="s">
        <v>387</v>
      </c>
      <c r="B1864" s="412">
        <f>VLOOKUP(B1851,'BANG LUONG 1'!$B$4:$AJ$55,16,0)</f>
        <v>0</v>
      </c>
      <c r="C1864" s="421">
        <v>14</v>
      </c>
      <c r="D1864" s="41">
        <f>B1859/26/8*2*B1864</f>
        <v>0</v>
      </c>
    </row>
    <row r="1865" spans="1:5">
      <c r="A1865" s="421" t="s">
        <v>593</v>
      </c>
      <c r="B1865" s="412">
        <f>VLOOKUP(B1851,'BANG LUONG 1'!$B$4:$AJ$55,17,0)</f>
        <v>0</v>
      </c>
      <c r="C1865" s="421"/>
      <c r="D1865" s="41">
        <f>(B1859/26)*B1865</f>
        <v>0</v>
      </c>
    </row>
    <row r="1866" spans="1:5">
      <c r="A1866" s="421" t="s">
        <v>388</v>
      </c>
      <c r="B1866" s="412">
        <f>VLOOKUP(B1851,'BANG LUONG 1'!$B$4:$AJ$55,18,0)</f>
        <v>0</v>
      </c>
      <c r="C1866" s="421">
        <v>15</v>
      </c>
      <c r="D1866" s="41">
        <f>(B1859/26*B1866)*3</f>
        <v>0</v>
      </c>
    </row>
    <row r="1867" spans="1:5">
      <c r="A1867" s="421" t="s">
        <v>533</v>
      </c>
      <c r="B1867" s="412">
        <f>VLOOKUP(B1851,'BANG LUONG 1'!$B$4:$AJ$55,19,0)</f>
        <v>4583509.615384615</v>
      </c>
      <c r="C1867" s="183">
        <v>16</v>
      </c>
      <c r="D1867" s="185">
        <f>B1861+D1863+D1864+D1862+D1866+D1865</f>
        <v>4583509.615384615</v>
      </c>
      <c r="E1867" s="108"/>
    </row>
    <row r="1868" spans="1:5">
      <c r="A1868" s="421" t="s">
        <v>535</v>
      </c>
      <c r="B1868" s="412">
        <f>VLOOKUP(B1851,'BANG LUONG 1'!$B$4:$AJ$55,20,0)</f>
        <v>-4583509.615384615</v>
      </c>
      <c r="C1868" s="421">
        <v>17</v>
      </c>
      <c r="D1868" s="41"/>
    </row>
    <row r="1869" spans="1:5">
      <c r="A1869" s="421" t="s">
        <v>370</v>
      </c>
      <c r="B1869" s="412">
        <f>VLOOKUP(B1851,'BANG LUONG 1'!$B$4:$AJ$55,22,0)</f>
        <v>132412.5</v>
      </c>
      <c r="C1869" s="421">
        <v>18</v>
      </c>
      <c r="D1869" s="41"/>
    </row>
    <row r="1870" spans="1:5">
      <c r="A1870" s="421" t="s">
        <v>371</v>
      </c>
      <c r="B1870" s="412">
        <f>VLOOKUP(B1851,'BANG LUONG 1'!$B$4:$AJ$55,23,0)</f>
        <v>300000</v>
      </c>
      <c r="C1870" s="421">
        <v>19</v>
      </c>
      <c r="D1870" s="41"/>
    </row>
    <row r="1871" spans="1:5">
      <c r="A1871" s="421" t="s">
        <v>560</v>
      </c>
      <c r="B1871" s="412">
        <f>VLOOKUP(B1851,'BANG LUONG 1'!$B$4:$AJ$55,24,0)</f>
        <v>0</v>
      </c>
      <c r="C1871" s="421">
        <v>22</v>
      </c>
      <c r="D1871" s="41"/>
    </row>
    <row r="1872" spans="1:5">
      <c r="A1872" s="183" t="s">
        <v>237</v>
      </c>
      <c r="B1872" s="415">
        <f>VLOOKUP(B1851,'BANG LUONG 1'!$B$4:$AJ$55,26,0)</f>
        <v>432412.5</v>
      </c>
      <c r="C1872" s="421">
        <v>24</v>
      </c>
      <c r="D1872" s="41"/>
    </row>
    <row r="1873" spans="1:5">
      <c r="A1873" s="421" t="s">
        <v>545</v>
      </c>
      <c r="B1873" s="412">
        <f>VLOOKUP(B1851,'BANG LUONG 1'!$B$4:$AJ$55,27,0)</f>
        <v>0</v>
      </c>
      <c r="C1873" s="421">
        <v>25</v>
      </c>
      <c r="D1873" s="41"/>
    </row>
    <row r="1874" spans="1:5">
      <c r="A1874" s="421" t="s">
        <v>544</v>
      </c>
      <c r="B1874" s="412">
        <f>VLOOKUP(B1851,'BANG LUONG 1'!$B$4:$AJ$55,28,0)</f>
        <v>480585</v>
      </c>
      <c r="C1874" s="421">
        <v>26</v>
      </c>
      <c r="D1874" s="41"/>
    </row>
    <row r="1875" spans="1:5">
      <c r="A1875" s="421" t="s">
        <v>713</v>
      </c>
      <c r="B1875" s="415">
        <f>VLOOKUP(B1851,'BANG LUONG 1'!$B$4:$AJ$55,32,0)</f>
        <v>0</v>
      </c>
      <c r="C1875" s="421"/>
      <c r="D1875" s="41"/>
    </row>
    <row r="1876" spans="1:5">
      <c r="A1876" s="421" t="s">
        <v>714</v>
      </c>
      <c r="B1876" s="415">
        <f>VLOOKUP(B1851,'BANG LUONG 1'!$B$4:$AJ$55,33,0)</f>
        <v>0</v>
      </c>
      <c r="C1876" s="421"/>
      <c r="D1876" s="41"/>
    </row>
    <row r="1877" spans="1:5">
      <c r="A1877" s="183" t="s">
        <v>707</v>
      </c>
      <c r="B1877" s="415">
        <f>VLOOKUP(B1851,'BANG LUONG 1'!$B$4:$AJ$55,34,0)</f>
        <v>0</v>
      </c>
      <c r="C1877" s="421"/>
      <c r="D1877" s="41"/>
      <c r="E1877" s="108" t="str">
        <f>B1852</f>
        <v>Nguyễn Thành Tài</v>
      </c>
    </row>
    <row r="1878" spans="1:5">
      <c r="A1878" s="183" t="s">
        <v>546</v>
      </c>
      <c r="B1878" s="415">
        <f>VLOOKUP(B1851,'BANG LUONG 1'!$B$4:$AJ$55,35,0)</f>
        <v>-48000</v>
      </c>
      <c r="C1878" s="421"/>
      <c r="D1878" s="41"/>
    </row>
    <row r="1879" spans="1:5">
      <c r="A1879" s="184" t="s">
        <v>549</v>
      </c>
      <c r="B1879" s="424">
        <f>'BANG LUONG 1'!$P$2</f>
        <v>43702</v>
      </c>
    </row>
    <row r="1880" spans="1:5">
      <c r="A1880" s="183" t="s">
        <v>1</v>
      </c>
      <c r="B1880" s="185" t="s">
        <v>156</v>
      </c>
      <c r="C1880" s="421">
        <v>1</v>
      </c>
      <c r="D1880" s="41"/>
    </row>
    <row r="1881" spans="1:5">
      <c r="A1881" s="183" t="s">
        <v>2</v>
      </c>
      <c r="B1881" s="185" t="str">
        <f>VLOOKUP($B1880,'BANG LUONG 1'!$B$5:$AB$47,C1881,0)</f>
        <v>Lê Ngọc Đức</v>
      </c>
      <c r="C1881" s="421">
        <v>2</v>
      </c>
      <c r="D1881" s="41"/>
    </row>
    <row r="1882" spans="1:5">
      <c r="A1882" s="421" t="s">
        <v>3</v>
      </c>
      <c r="B1882" s="41" t="str">
        <f>VLOOKUP($B1880,'BANG LUONG 1'!$B$5:$AJ$47,C1882,0)</f>
        <v xml:space="preserve">Công nhân </v>
      </c>
      <c r="C1882" s="421">
        <v>3</v>
      </c>
      <c r="D1882" s="41"/>
    </row>
    <row r="1883" spans="1:5">
      <c r="A1883" s="421" t="s">
        <v>376</v>
      </c>
      <c r="B1883" s="410">
        <f>VLOOKUP($B1880,'BANG LUONG 1'!$B$4:$AJ$55,4,0)</f>
        <v>43453</v>
      </c>
      <c r="C1883" s="421">
        <v>4</v>
      </c>
      <c r="D1883" s="41"/>
    </row>
    <row r="1884" spans="1:5">
      <c r="A1884" s="421" t="s">
        <v>698</v>
      </c>
      <c r="B1884" s="411">
        <f>VLOOKUP(B1880,'BANG LUONG 1'!$B$4:$AJ$55,6,0)</f>
        <v>0</v>
      </c>
      <c r="C1884" s="421">
        <v>5</v>
      </c>
      <c r="D1884" s="41"/>
    </row>
    <row r="1885" spans="1:5">
      <c r="A1885" s="421" t="s">
        <v>229</v>
      </c>
      <c r="B1885" s="412">
        <f>'thang luong moi'!$F$5</f>
        <v>4012500</v>
      </c>
      <c r="C1885" s="421">
        <v>6</v>
      </c>
      <c r="D1885" s="41"/>
    </row>
    <row r="1886" spans="1:5">
      <c r="A1886" s="421" t="s">
        <v>217</v>
      </c>
      <c r="B1886" s="412" t="str">
        <f>VLOOKUP(B1880,'BANG LUONG 1'!$B$4:$AJ$55,8,0)</f>
        <v>B.05</v>
      </c>
      <c r="C1886" s="421">
        <v>7</v>
      </c>
      <c r="D1886" s="41"/>
    </row>
    <row r="1887" spans="1:5">
      <c r="A1887" s="421" t="s">
        <v>230</v>
      </c>
      <c r="B1887" s="412">
        <f>VLOOKUP(B1880,'BANG LUONG 1'!$B$4:$AJ$55,9,0)</f>
        <v>1</v>
      </c>
      <c r="C1887" s="421">
        <v>8</v>
      </c>
      <c r="D1887" s="41"/>
    </row>
    <row r="1888" spans="1:5">
      <c r="A1888" s="421" t="s">
        <v>538</v>
      </c>
      <c r="B1888" s="412">
        <f>VLOOKUP(B1880,'BANG LUONG 1'!$B$4:$AJ$55,11,0)</f>
        <v>4213125</v>
      </c>
      <c r="C1888" s="421">
        <v>9</v>
      </c>
      <c r="D1888" s="41"/>
    </row>
    <row r="1889" spans="1:5">
      <c r="A1889" s="421" t="s">
        <v>354</v>
      </c>
      <c r="B1889" s="412">
        <f>VLOOKUP(B1880,'BANG LUONG 1'!$B$4:$AJ$55,12,0)</f>
        <v>27</v>
      </c>
      <c r="C1889" s="421">
        <v>10</v>
      </c>
      <c r="D1889" s="41"/>
    </row>
    <row r="1890" spans="1:5">
      <c r="A1890" s="421" t="s">
        <v>534</v>
      </c>
      <c r="B1890" s="412">
        <f>VLOOKUP(B1880,'BANG LUONG 1'!$B$4:$AJ$55,13,0)</f>
        <v>4375168.269230769</v>
      </c>
      <c r="C1890" s="421">
        <v>11</v>
      </c>
      <c r="D1890" s="41"/>
    </row>
    <row r="1891" spans="1:5">
      <c r="A1891" s="421" t="s">
        <v>592</v>
      </c>
      <c r="B1891" s="412">
        <f>VLOOKUP(B1880,'BANG LUONG 1'!$B$4:$AJ$55,14,0)</f>
        <v>0</v>
      </c>
      <c r="C1891" s="421">
        <v>12</v>
      </c>
      <c r="D1891" s="41">
        <f>B1888/26*B1891</f>
        <v>0</v>
      </c>
    </row>
    <row r="1892" spans="1:5">
      <c r="A1892" s="421" t="s">
        <v>357</v>
      </c>
      <c r="B1892" s="412">
        <f>VLOOKUP(B1880,'BANG LUONG 1'!$B$4:$AJ$55,15,0)</f>
        <v>0</v>
      </c>
      <c r="C1892" s="421">
        <v>13</v>
      </c>
      <c r="D1892" s="41">
        <f>B1888/26/8*1.5*B1892</f>
        <v>0</v>
      </c>
    </row>
    <row r="1893" spans="1:5">
      <c r="A1893" s="421" t="s">
        <v>387</v>
      </c>
      <c r="B1893" s="412">
        <f>VLOOKUP(B1880,'BANG LUONG 1'!$B$4:$AJ$55,16,0)</f>
        <v>0</v>
      </c>
      <c r="C1893" s="421">
        <v>14</v>
      </c>
      <c r="D1893" s="41">
        <f>B1888/26/8*2*B1893</f>
        <v>0</v>
      </c>
    </row>
    <row r="1894" spans="1:5">
      <c r="A1894" s="421" t="s">
        <v>593</v>
      </c>
      <c r="B1894" s="412">
        <f>VLOOKUP(B1880,'BANG LUONG 1'!$B$4:$AJ$55,17,0)</f>
        <v>0</v>
      </c>
      <c r="C1894" s="421"/>
      <c r="D1894" s="41">
        <f>(B1888/26)*B1894</f>
        <v>0</v>
      </c>
    </row>
    <row r="1895" spans="1:5">
      <c r="A1895" s="421" t="s">
        <v>388</v>
      </c>
      <c r="B1895" s="412">
        <f>VLOOKUP(B1880,'BANG LUONG 1'!$B$4:$AJ$55,18,0)</f>
        <v>0</v>
      </c>
      <c r="C1895" s="421">
        <v>15</v>
      </c>
      <c r="D1895" s="41">
        <f>(B1888/26*B1895)*3</f>
        <v>0</v>
      </c>
    </row>
    <row r="1896" spans="1:5">
      <c r="A1896" s="421" t="s">
        <v>533</v>
      </c>
      <c r="B1896" s="412">
        <f>VLOOKUP(B1880,'BANG LUONG 1'!$B$4:$AJ$55,19,0)</f>
        <v>4375168.269230769</v>
      </c>
      <c r="C1896" s="183">
        <v>16</v>
      </c>
      <c r="D1896" s="185">
        <f>B1890+D1892+D1893+D1891+D1895+D1894</f>
        <v>4375168.269230769</v>
      </c>
      <c r="E1896" s="108"/>
    </row>
    <row r="1897" spans="1:5">
      <c r="A1897" s="421" t="s">
        <v>535</v>
      </c>
      <c r="B1897" s="412">
        <f>VLOOKUP(B1880,'BANG LUONG 1'!$B$4:$AJ$55,20,0)</f>
        <v>-4375168.269230769</v>
      </c>
      <c r="C1897" s="421">
        <v>17</v>
      </c>
      <c r="D1897" s="41"/>
    </row>
    <row r="1898" spans="1:5">
      <c r="A1898" s="421" t="s">
        <v>370</v>
      </c>
      <c r="B1898" s="412">
        <f>VLOOKUP(B1880,'BANG LUONG 1'!$B$4:$AJ$55,22,0)</f>
        <v>0</v>
      </c>
      <c r="C1898" s="421">
        <v>18</v>
      </c>
      <c r="D1898" s="41"/>
    </row>
    <row r="1899" spans="1:5">
      <c r="A1899" s="421" t="s">
        <v>371</v>
      </c>
      <c r="B1899" s="412">
        <f>VLOOKUP(B1880,'BANG LUONG 1'!$B$4:$AJ$55,23,0)</f>
        <v>300000</v>
      </c>
      <c r="C1899" s="421">
        <v>19</v>
      </c>
      <c r="D1899" s="41"/>
    </row>
    <row r="1900" spans="1:5">
      <c r="A1900" s="421" t="s">
        <v>560</v>
      </c>
      <c r="B1900" s="412">
        <f>VLOOKUP(B1880,'BANG LUONG 1'!$B$4:$AJ$55,24,0)</f>
        <v>0</v>
      </c>
      <c r="C1900" s="421">
        <v>22</v>
      </c>
      <c r="D1900" s="41"/>
    </row>
    <row r="1901" spans="1:5">
      <c r="A1901" s="183" t="s">
        <v>237</v>
      </c>
      <c r="B1901" s="415">
        <f>VLOOKUP(B1880,'BANG LUONG 1'!$B$4:$AJ$55,26,0)</f>
        <v>300000</v>
      </c>
      <c r="C1901" s="421">
        <v>24</v>
      </c>
      <c r="D1901" s="41"/>
    </row>
    <row r="1902" spans="1:5" hidden="1">
      <c r="A1902" s="421" t="s">
        <v>545</v>
      </c>
      <c r="B1902" s="412">
        <f>VLOOKUP(B1880,'BANG LUONG 1'!$B$4:$AJ$55,27,0)</f>
        <v>4000000</v>
      </c>
      <c r="C1902" s="421">
        <v>25</v>
      </c>
      <c r="D1902" s="41"/>
    </row>
    <row r="1903" spans="1:5" hidden="1">
      <c r="A1903" s="421" t="s">
        <v>544</v>
      </c>
      <c r="B1903" s="412">
        <f>VLOOKUP(B1880,'BANG LUONG 1'!$B$4:$AJ$55,28,0)</f>
        <v>0</v>
      </c>
      <c r="C1903" s="421">
        <v>26</v>
      </c>
      <c r="D1903" s="41"/>
    </row>
    <row r="1904" spans="1:5">
      <c r="A1904" s="421" t="s">
        <v>713</v>
      </c>
      <c r="B1904" s="415">
        <f>VLOOKUP(B1880,'BANG LUONG 1'!$B$4:$AJ$55,32,0)</f>
        <v>0</v>
      </c>
      <c r="C1904" s="421"/>
      <c r="D1904" s="41"/>
    </row>
    <row r="1905" spans="1:5">
      <c r="A1905" s="421" t="s">
        <v>714</v>
      </c>
      <c r="B1905" s="415">
        <f>VLOOKUP(B1880,'BANG LUONG 1'!$B$4:$AJ$55,33,0)</f>
        <v>0</v>
      </c>
      <c r="C1905" s="421"/>
      <c r="D1905" s="41"/>
    </row>
    <row r="1906" spans="1:5">
      <c r="A1906" s="183" t="s">
        <v>707</v>
      </c>
      <c r="B1906" s="415">
        <f>VLOOKUP(B1880,'BANG LUONG 1'!$B$4:$AJ$55,34,0)</f>
        <v>0</v>
      </c>
      <c r="C1906" s="421"/>
      <c r="D1906" s="41"/>
      <c r="E1906" s="108" t="str">
        <f>B1881</f>
        <v>Lê Ngọc Đức</v>
      </c>
    </row>
    <row r="1907" spans="1:5">
      <c r="A1907" s="183" t="s">
        <v>546</v>
      </c>
      <c r="B1907" s="415">
        <f>VLOOKUP(B1880,'BANG LUONG 1'!$B$4:$AJ$55,35,0)</f>
        <v>-3700000</v>
      </c>
      <c r="C1907" s="421"/>
      <c r="D1907" s="41"/>
    </row>
    <row r="1908" spans="1:5">
      <c r="A1908" s="183"/>
      <c r="B1908" s="412"/>
      <c r="C1908" s="421">
        <v>27</v>
      </c>
      <c r="D1908" s="185"/>
    </row>
    <row r="1909" spans="1:5">
      <c r="A1909" s="184" t="s">
        <v>549</v>
      </c>
      <c r="B1909" s="424">
        <f>'BANG LUONG 1'!$P$2</f>
        <v>43702</v>
      </c>
    </row>
    <row r="1910" spans="1:5">
      <c r="A1910" s="183" t="s">
        <v>1</v>
      </c>
      <c r="B1910" s="185" t="s">
        <v>152</v>
      </c>
      <c r="C1910" s="421">
        <v>1</v>
      </c>
      <c r="D1910" s="41"/>
    </row>
    <row r="1911" spans="1:5">
      <c r="A1911" s="183" t="s">
        <v>2</v>
      </c>
      <c r="B1911" s="185" t="str">
        <f>VLOOKUP($B1910,'BANG LUONG 1'!$B$5:$AB$47,C1911,0)</f>
        <v>Nguyễn Văn Phụng</v>
      </c>
      <c r="C1911" s="421">
        <v>2</v>
      </c>
      <c r="D1911" s="41"/>
    </row>
    <row r="1912" spans="1:5">
      <c r="A1912" s="421" t="s">
        <v>3</v>
      </c>
      <c r="B1912" s="41" t="str">
        <f>VLOOKUP($B1910,'BANG LUONG 1'!$B$5:$AJ$47,C1912,0)</f>
        <v xml:space="preserve">Công nhân </v>
      </c>
      <c r="C1912" s="421">
        <v>3</v>
      </c>
      <c r="D1912" s="41"/>
    </row>
    <row r="1913" spans="1:5">
      <c r="A1913" s="421" t="s">
        <v>376</v>
      </c>
      <c r="B1913" s="410">
        <f>VLOOKUP($B1910,'BANG LUONG 1'!$B$4:$AJ$55,4,0)</f>
        <v>41786</v>
      </c>
      <c r="C1913" s="421">
        <v>4</v>
      </c>
      <c r="D1913" s="41"/>
    </row>
    <row r="1914" spans="1:5">
      <c r="A1914" s="421" t="s">
        <v>698</v>
      </c>
      <c r="B1914" s="411">
        <f>VLOOKUP(B1910,'BANG LUONG 1'!$B$4:$AJ$55,6,0)</f>
        <v>0.05</v>
      </c>
      <c r="C1914" s="421">
        <v>5</v>
      </c>
      <c r="D1914" s="41"/>
    </row>
    <row r="1915" spans="1:5">
      <c r="A1915" s="421" t="s">
        <v>229</v>
      </c>
      <c r="B1915" s="412">
        <f>'thang luong moi'!$F$5</f>
        <v>4012500</v>
      </c>
      <c r="C1915" s="421">
        <v>6</v>
      </c>
      <c r="D1915" s="41"/>
    </row>
    <row r="1916" spans="1:5">
      <c r="A1916" s="421" t="s">
        <v>217</v>
      </c>
      <c r="B1916" s="412" t="str">
        <f>VLOOKUP(B1910,'BANG LUONG 1'!$B$4:$AJ$55,8,0)</f>
        <v>B.05</v>
      </c>
      <c r="C1916" s="421">
        <v>7</v>
      </c>
      <c r="D1916" s="41"/>
    </row>
    <row r="1917" spans="1:5">
      <c r="A1917" s="421" t="s">
        <v>230</v>
      </c>
      <c r="B1917" s="412">
        <f>VLOOKUP(B1910,'BANG LUONG 1'!$B$4:$AJ$55,9,0)</f>
        <v>1</v>
      </c>
      <c r="C1917" s="421">
        <v>8</v>
      </c>
      <c r="D1917" s="41"/>
    </row>
    <row r="1918" spans="1:5">
      <c r="A1918" s="421" t="s">
        <v>538</v>
      </c>
      <c r="B1918" s="412">
        <f>VLOOKUP(B1910,'BANG LUONG 1'!$B$4:$AJ$55,11,0)</f>
        <v>4213125</v>
      </c>
      <c r="C1918" s="421">
        <v>9</v>
      </c>
      <c r="D1918" s="41"/>
    </row>
    <row r="1919" spans="1:5">
      <c r="A1919" s="421" t="s">
        <v>354</v>
      </c>
      <c r="B1919" s="412">
        <f>VLOOKUP(B1910,'BANG LUONG 1'!$B$4:$AJ$55,12,0)</f>
        <v>27</v>
      </c>
      <c r="C1919" s="421">
        <v>10</v>
      </c>
      <c r="D1919" s="41"/>
    </row>
    <row r="1920" spans="1:5">
      <c r="A1920" s="421" t="s">
        <v>534</v>
      </c>
      <c r="B1920" s="412">
        <f>VLOOKUP(B1910,'BANG LUONG 1'!$B$4:$AJ$55,13,0)</f>
        <v>4375168.269230769</v>
      </c>
      <c r="C1920" s="421">
        <v>11</v>
      </c>
      <c r="D1920" s="41"/>
    </row>
    <row r="1921" spans="1:5">
      <c r="A1921" s="421" t="s">
        <v>592</v>
      </c>
      <c r="B1921" s="412">
        <f>VLOOKUP(B1910,'BANG LUONG 1'!$B$4:$AJ$55,14,0)</f>
        <v>0.5</v>
      </c>
      <c r="C1921" s="421">
        <v>12</v>
      </c>
      <c r="D1921" s="41">
        <f>B1918/26*B1921</f>
        <v>81021.63461538461</v>
      </c>
    </row>
    <row r="1922" spans="1:5">
      <c r="A1922" s="421" t="s">
        <v>357</v>
      </c>
      <c r="B1922" s="412">
        <f>VLOOKUP(B1910,'BANG LUONG 1'!$B$4:$AJ$55,15,0)</f>
        <v>0</v>
      </c>
      <c r="C1922" s="421">
        <v>13</v>
      </c>
      <c r="D1922" s="41">
        <f>B1918/26/8*1.5*B1922</f>
        <v>0</v>
      </c>
    </row>
    <row r="1923" spans="1:5">
      <c r="A1923" s="421" t="s">
        <v>387</v>
      </c>
      <c r="B1923" s="412">
        <f>VLOOKUP(B1910,'BANG LUONG 1'!$B$4:$AJ$55,16,0)</f>
        <v>0</v>
      </c>
      <c r="C1923" s="421">
        <v>14</v>
      </c>
      <c r="D1923" s="41">
        <f>B1918/26/8*2*B1923</f>
        <v>0</v>
      </c>
    </row>
    <row r="1924" spans="1:5">
      <c r="A1924" s="421" t="s">
        <v>593</v>
      </c>
      <c r="B1924" s="412">
        <f>VLOOKUP(B1910,'BANG LUONG 1'!$B$4:$AJ$55,17,0)</f>
        <v>0</v>
      </c>
      <c r="C1924" s="421"/>
      <c r="D1924" s="41">
        <f>(B1918/26)*B1924</f>
        <v>0</v>
      </c>
    </row>
    <row r="1925" spans="1:5">
      <c r="A1925" s="421" t="s">
        <v>388</v>
      </c>
      <c r="B1925" s="412">
        <f>VLOOKUP(B1910,'BANG LUONG 1'!$B$4:$AJ$55,18,0)</f>
        <v>0</v>
      </c>
      <c r="C1925" s="421">
        <v>15</v>
      </c>
      <c r="D1925" s="41">
        <f>(B1918/26*B1925)*3</f>
        <v>0</v>
      </c>
    </row>
    <row r="1926" spans="1:5">
      <c r="A1926" s="421" t="s">
        <v>533</v>
      </c>
      <c r="B1926" s="412">
        <f>VLOOKUP(B1910,'BANG LUONG 1'!$B$4:$AJ$55,19,0)</f>
        <v>4456189.903846154</v>
      </c>
      <c r="C1926" s="183">
        <v>16</v>
      </c>
      <c r="D1926" s="185">
        <f>B1920+D1922+D1923+D1921+D1925+D1924</f>
        <v>4456189.903846154</v>
      </c>
      <c r="E1926" s="108"/>
    </row>
    <row r="1927" spans="1:5">
      <c r="A1927" s="421" t="s">
        <v>535</v>
      </c>
      <c r="B1927" s="412">
        <f>VLOOKUP(B1910,'BANG LUONG 1'!$B$4:$AJ$55,20,0)</f>
        <v>-4375168.269230769</v>
      </c>
      <c r="C1927" s="421">
        <v>17</v>
      </c>
      <c r="D1927" s="41"/>
    </row>
    <row r="1928" spans="1:5">
      <c r="A1928" s="421" t="s">
        <v>370</v>
      </c>
      <c r="B1928" s="412">
        <f>VLOOKUP(B1910,'BANG LUONG 1'!$B$4:$AJ$55,22,0)</f>
        <v>210656.25</v>
      </c>
      <c r="C1928" s="421">
        <v>18</v>
      </c>
      <c r="D1928" s="41"/>
    </row>
    <row r="1929" spans="1:5">
      <c r="A1929" s="421" t="s">
        <v>371</v>
      </c>
      <c r="B1929" s="412">
        <f>VLOOKUP(B1910,'BANG LUONG 1'!$B$4:$AJ$55,23,0)</f>
        <v>300000</v>
      </c>
      <c r="C1929" s="421">
        <v>19</v>
      </c>
      <c r="D1929" s="41"/>
    </row>
    <row r="1930" spans="1:5">
      <c r="A1930" s="421" t="s">
        <v>560</v>
      </c>
      <c r="B1930" s="412">
        <f>VLOOKUP(B1910,'BANG LUONG 1'!$B$4:$AJ$55,24,0)</f>
        <v>0</v>
      </c>
      <c r="C1930" s="421">
        <v>22</v>
      </c>
      <c r="D1930" s="41"/>
    </row>
    <row r="1931" spans="1:5">
      <c r="A1931" s="183" t="s">
        <v>237</v>
      </c>
      <c r="B1931" s="415">
        <f>VLOOKUP(B1910,'BANG LUONG 1'!$B$4:$AJ$55,26,0)</f>
        <v>591677.88461538497</v>
      </c>
      <c r="C1931" s="421">
        <v>24</v>
      </c>
      <c r="D1931" s="41"/>
    </row>
    <row r="1932" spans="1:5">
      <c r="A1932" s="421" t="s">
        <v>545</v>
      </c>
      <c r="B1932" s="412">
        <f>VLOOKUP(B1910,'BANG LUONG 1'!$B$4:$AJ$55,27,0)</f>
        <v>4000000</v>
      </c>
      <c r="C1932" s="421">
        <v>25</v>
      </c>
      <c r="D1932" s="41"/>
    </row>
    <row r="1933" spans="1:5">
      <c r="A1933" s="421" t="s">
        <v>544</v>
      </c>
      <c r="B1933" s="412">
        <f>VLOOKUP(B1910,'BANG LUONG 1'!$B$4:$AJ$55,28,0)</f>
        <v>480585</v>
      </c>
      <c r="C1933" s="421">
        <v>26</v>
      </c>
      <c r="D1933" s="41"/>
    </row>
    <row r="1934" spans="1:5">
      <c r="A1934" s="421" t="s">
        <v>713</v>
      </c>
      <c r="B1934" s="415">
        <f>VLOOKUP(B1910,'BANG LUONG 1'!$B$4:$AJ$55,32,0)</f>
        <v>0</v>
      </c>
      <c r="C1934" s="421"/>
      <c r="D1934" s="41"/>
    </row>
    <row r="1935" spans="1:5">
      <c r="A1935" s="421" t="s">
        <v>714</v>
      </c>
      <c r="B1935" s="415">
        <f>VLOOKUP(B1910,'BANG LUONG 1'!$B$4:$AJ$55,33,0)</f>
        <v>0</v>
      </c>
      <c r="C1935" s="421"/>
      <c r="D1935" s="41"/>
    </row>
    <row r="1936" spans="1:5">
      <c r="A1936" s="183" t="s">
        <v>707</v>
      </c>
      <c r="B1936" s="415">
        <f>VLOOKUP(B1910,'BANG LUONG 1'!$B$4:$AJ$55,34,0)</f>
        <v>0</v>
      </c>
      <c r="C1936" s="421"/>
      <c r="D1936" s="41"/>
      <c r="E1936" s="108" t="str">
        <f>B1911</f>
        <v>Nguyễn Văn Phụng</v>
      </c>
    </row>
    <row r="1937" spans="1:4">
      <c r="A1937" s="183" t="s">
        <v>546</v>
      </c>
      <c r="B1937" s="415">
        <f>VLOOKUP(B1910,'BANG LUONG 1'!$B$4:$AJ$55,35,0)</f>
        <v>-3889000</v>
      </c>
      <c r="C1937" s="421"/>
      <c r="D1937" s="41"/>
    </row>
    <row r="1938" spans="1:4">
      <c r="A1938" s="184" t="s">
        <v>549</v>
      </c>
      <c r="B1938" s="424">
        <f>'BANG LUONG 1'!$P$2</f>
        <v>43702</v>
      </c>
    </row>
    <row r="1939" spans="1:4">
      <c r="A1939" s="183" t="s">
        <v>1</v>
      </c>
      <c r="B1939" s="185" t="s">
        <v>156</v>
      </c>
      <c r="C1939" s="421">
        <v>1</v>
      </c>
      <c r="D1939" s="41"/>
    </row>
    <row r="1940" spans="1:4">
      <c r="A1940" s="183" t="s">
        <v>2</v>
      </c>
      <c r="B1940" s="185" t="str">
        <f>VLOOKUP($B1939,'BANG LUONG 1'!$B$5:$AB$47,C1940,0)</f>
        <v>Lê Ngọc Đức</v>
      </c>
      <c r="C1940" s="421">
        <v>2</v>
      </c>
      <c r="D1940" s="41"/>
    </row>
    <row r="1941" spans="1:4">
      <c r="A1941" s="421" t="s">
        <v>3</v>
      </c>
      <c r="B1941" s="41" t="str">
        <f>VLOOKUP($B1939,'BANG LUONG 1'!$B$5:$AJ$47,C1941,0)</f>
        <v xml:space="preserve">Công nhân </v>
      </c>
      <c r="C1941" s="421">
        <v>3</v>
      </c>
      <c r="D1941" s="41"/>
    </row>
    <row r="1942" spans="1:4">
      <c r="A1942" s="421" t="s">
        <v>376</v>
      </c>
      <c r="B1942" s="410">
        <f>VLOOKUP($B1939,'BANG LUONG 1'!$B$4:$AJ$55,4,0)</f>
        <v>43453</v>
      </c>
      <c r="C1942" s="421">
        <v>4</v>
      </c>
      <c r="D1942" s="41"/>
    </row>
    <row r="1943" spans="1:4">
      <c r="A1943" s="421" t="s">
        <v>698</v>
      </c>
      <c r="B1943" s="411">
        <f>VLOOKUP(B1939,'BANG LUONG 1'!$B$4:$AJ$55,6,0)</f>
        <v>0</v>
      </c>
      <c r="C1943" s="421">
        <v>5</v>
      </c>
      <c r="D1943" s="41"/>
    </row>
    <row r="1944" spans="1:4">
      <c r="A1944" s="421" t="s">
        <v>229</v>
      </c>
      <c r="B1944" s="412">
        <f>'thang luong moi'!$F$5</f>
        <v>4012500</v>
      </c>
      <c r="C1944" s="421">
        <v>6</v>
      </c>
      <c r="D1944" s="41"/>
    </row>
    <row r="1945" spans="1:4">
      <c r="A1945" s="421" t="s">
        <v>217</v>
      </c>
      <c r="B1945" s="412" t="str">
        <f>VLOOKUP(B1939,'BANG LUONG 1'!$B$4:$AJ$55,8,0)</f>
        <v>B.05</v>
      </c>
      <c r="C1945" s="421">
        <v>7</v>
      </c>
      <c r="D1945" s="41"/>
    </row>
    <row r="1946" spans="1:4">
      <c r="A1946" s="421" t="s">
        <v>230</v>
      </c>
      <c r="B1946" s="412">
        <f>VLOOKUP(B1939,'BANG LUONG 1'!$B$4:$AJ$55,9,0)</f>
        <v>1</v>
      </c>
      <c r="C1946" s="421">
        <v>8</v>
      </c>
      <c r="D1946" s="41"/>
    </row>
    <row r="1947" spans="1:4">
      <c r="A1947" s="421" t="s">
        <v>538</v>
      </c>
      <c r="B1947" s="412">
        <f>VLOOKUP(B1939,'BANG LUONG 1'!$B$4:$AJ$55,11,0)</f>
        <v>4213125</v>
      </c>
      <c r="C1947" s="421">
        <v>9</v>
      </c>
      <c r="D1947" s="41"/>
    </row>
    <row r="1948" spans="1:4">
      <c r="A1948" s="421" t="s">
        <v>354</v>
      </c>
      <c r="B1948" s="412">
        <f>VLOOKUP(B1939,'BANG LUONG 1'!$B$4:$AJ$55,12,0)</f>
        <v>27</v>
      </c>
      <c r="C1948" s="421">
        <v>10</v>
      </c>
      <c r="D1948" s="41"/>
    </row>
    <row r="1949" spans="1:4">
      <c r="A1949" s="421" t="s">
        <v>534</v>
      </c>
      <c r="B1949" s="412">
        <f>VLOOKUP(B1939,'BANG LUONG 1'!$B$4:$AJ$55,13,0)</f>
        <v>4375168.269230769</v>
      </c>
      <c r="C1949" s="421">
        <v>11</v>
      </c>
      <c r="D1949" s="41"/>
    </row>
    <row r="1950" spans="1:4">
      <c r="A1950" s="421" t="s">
        <v>592</v>
      </c>
      <c r="B1950" s="412">
        <f>VLOOKUP(B1939,'BANG LUONG 1'!$B$4:$AJ$55,14,0)</f>
        <v>0</v>
      </c>
      <c r="C1950" s="421">
        <v>12</v>
      </c>
      <c r="D1950" s="41">
        <f>B1947/26*B1950</f>
        <v>0</v>
      </c>
    </row>
    <row r="1951" spans="1:4">
      <c r="A1951" s="421" t="s">
        <v>357</v>
      </c>
      <c r="B1951" s="412">
        <f>VLOOKUP(B1939,'BANG LUONG 1'!$B$4:$AJ$55,15,0)</f>
        <v>0</v>
      </c>
      <c r="C1951" s="421">
        <v>13</v>
      </c>
      <c r="D1951" s="41">
        <f>B1947/26/8*1.5*B1951</f>
        <v>0</v>
      </c>
    </row>
    <row r="1952" spans="1:4">
      <c r="A1952" s="421" t="s">
        <v>387</v>
      </c>
      <c r="B1952" s="412">
        <f>VLOOKUP(B1939,'BANG LUONG 1'!$B$4:$AJ$55,16,0)</f>
        <v>0</v>
      </c>
      <c r="C1952" s="421">
        <v>14</v>
      </c>
      <c r="D1952" s="41">
        <f>B1947/26/8*2*B1952</f>
        <v>0</v>
      </c>
    </row>
    <row r="1953" spans="1:5">
      <c r="A1953" s="421" t="s">
        <v>593</v>
      </c>
      <c r="B1953" s="412">
        <f>VLOOKUP(B1939,'BANG LUONG 1'!$B$4:$AJ$55,17,0)</f>
        <v>0</v>
      </c>
      <c r="C1953" s="421"/>
      <c r="D1953" s="41">
        <f>(B1947/26)*B1953</f>
        <v>0</v>
      </c>
    </row>
    <row r="1954" spans="1:5">
      <c r="A1954" s="421" t="s">
        <v>388</v>
      </c>
      <c r="B1954" s="412">
        <f>VLOOKUP(B1939,'BANG LUONG 1'!$B$4:$AJ$55,18,0)</f>
        <v>0</v>
      </c>
      <c r="C1954" s="421">
        <v>15</v>
      </c>
      <c r="D1954" s="41">
        <f>(B1947/26*B1954)*3</f>
        <v>0</v>
      </c>
    </row>
    <row r="1955" spans="1:5">
      <c r="A1955" s="421" t="s">
        <v>533</v>
      </c>
      <c r="B1955" s="412">
        <f>VLOOKUP(B1939,'BANG LUONG 1'!$B$4:$AJ$55,19,0)</f>
        <v>4375168.269230769</v>
      </c>
      <c r="C1955" s="183">
        <v>16</v>
      </c>
      <c r="D1955" s="185">
        <f>B1949+D1951+D1952+D1950+D1954+D1953</f>
        <v>4375168.269230769</v>
      </c>
      <c r="E1955" s="108"/>
    </row>
    <row r="1956" spans="1:5">
      <c r="A1956" s="421" t="s">
        <v>535</v>
      </c>
      <c r="B1956" s="412">
        <f>VLOOKUP(B1939,'BANG LUONG 1'!$B$4:$AJ$55,20,0)</f>
        <v>-4375168.269230769</v>
      </c>
      <c r="C1956" s="421">
        <v>17</v>
      </c>
      <c r="D1956" s="41"/>
    </row>
    <row r="1957" spans="1:5">
      <c r="A1957" s="421" t="s">
        <v>370</v>
      </c>
      <c r="B1957" s="412">
        <f>VLOOKUP(B1939,'BANG LUONG 1'!$B$4:$AJ$55,22,0)</f>
        <v>0</v>
      </c>
      <c r="C1957" s="421">
        <v>18</v>
      </c>
      <c r="D1957" s="41"/>
    </row>
    <row r="1958" spans="1:5">
      <c r="A1958" s="421" t="s">
        <v>371</v>
      </c>
      <c r="B1958" s="412">
        <f>VLOOKUP(B1939,'BANG LUONG 1'!$B$4:$AJ$55,23,0)</f>
        <v>300000</v>
      </c>
      <c r="C1958" s="421">
        <v>19</v>
      </c>
      <c r="D1958" s="41"/>
    </row>
    <row r="1959" spans="1:5">
      <c r="A1959" s="421" t="s">
        <v>560</v>
      </c>
      <c r="B1959" s="412">
        <f>VLOOKUP(B1939,'BANG LUONG 1'!$B$4:$AJ$55,24,0)</f>
        <v>0</v>
      </c>
      <c r="C1959" s="421">
        <v>22</v>
      </c>
      <c r="D1959" s="41"/>
    </row>
    <row r="1960" spans="1:5">
      <c r="A1960" s="183" t="s">
        <v>237</v>
      </c>
      <c r="B1960" s="415">
        <f>VLOOKUP(B1939,'BANG LUONG 1'!$B$4:$AJ$55,26,0)</f>
        <v>300000</v>
      </c>
      <c r="C1960" s="421">
        <v>24</v>
      </c>
      <c r="D1960" s="41"/>
    </row>
    <row r="1961" spans="1:5">
      <c r="A1961" s="421" t="s">
        <v>545</v>
      </c>
      <c r="B1961" s="412">
        <f>VLOOKUP(B1939,'BANG LUONG 1'!$B$4:$AJ$55,27,0)</f>
        <v>4000000</v>
      </c>
      <c r="C1961" s="421">
        <v>25</v>
      </c>
      <c r="D1961" s="41"/>
    </row>
    <row r="1962" spans="1:5">
      <c r="A1962" s="421" t="s">
        <v>544</v>
      </c>
      <c r="B1962" s="412">
        <f>VLOOKUP(B1939,'BANG LUONG 1'!$B$4:$AJ$55,28,0)</f>
        <v>0</v>
      </c>
      <c r="C1962" s="421">
        <v>26</v>
      </c>
      <c r="D1962" s="41"/>
    </row>
    <row r="1963" spans="1:5">
      <c r="A1963" s="421" t="s">
        <v>713</v>
      </c>
      <c r="B1963" s="415">
        <f>VLOOKUP(B1939,'BANG LUONG 1'!$B$4:$AJ$55,32,0)</f>
        <v>0</v>
      </c>
      <c r="C1963" s="421"/>
      <c r="D1963" s="41"/>
    </row>
    <row r="1964" spans="1:5">
      <c r="A1964" s="421" t="s">
        <v>714</v>
      </c>
      <c r="B1964" s="415">
        <f>VLOOKUP(B1939,'BANG LUONG 1'!$B$4:$AJ$55,33,0)</f>
        <v>0</v>
      </c>
      <c r="C1964" s="421"/>
      <c r="D1964" s="41"/>
    </row>
    <row r="1965" spans="1:5">
      <c r="A1965" s="183" t="s">
        <v>707</v>
      </c>
      <c r="B1965" s="415">
        <f>VLOOKUP(B1939,'BANG LUONG 1'!$B$4:$AJ$55,34,0)</f>
        <v>0</v>
      </c>
      <c r="C1965" s="421"/>
      <c r="D1965" s="41"/>
      <c r="E1965" s="108" t="str">
        <f>B1940</f>
        <v>Lê Ngọc Đức</v>
      </c>
    </row>
    <row r="1966" spans="1:5">
      <c r="A1966" s="183" t="s">
        <v>546</v>
      </c>
      <c r="B1966" s="415">
        <f>VLOOKUP(B1939,'BANG LUONG 1'!$B$4:$AJ$55,35,0)</f>
        <v>-3700000</v>
      </c>
      <c r="C1966" s="421"/>
      <c r="D1966" s="41"/>
    </row>
    <row r="1967" spans="1:5">
      <c r="A1967" s="184" t="s">
        <v>549</v>
      </c>
      <c r="B1967" s="424">
        <f>'BANG LUONG 1'!$P$2</f>
        <v>43702</v>
      </c>
    </row>
    <row r="1968" spans="1:5">
      <c r="A1968" s="183" t="s">
        <v>1</v>
      </c>
      <c r="B1968" s="185" t="s">
        <v>154</v>
      </c>
      <c r="C1968" s="421">
        <v>1</v>
      </c>
      <c r="D1968" s="41"/>
    </row>
    <row r="1969" spans="1:5">
      <c r="A1969" s="183" t="s">
        <v>2</v>
      </c>
      <c r="B1969" s="185" t="str">
        <f>VLOOKUP($B1968,'BANG LUONG 1'!$B$5:$AB$47,C1969,0)</f>
        <v>Nguyễn Tấn Kiệt</v>
      </c>
      <c r="C1969" s="421">
        <v>2</v>
      </c>
      <c r="D1969" s="41"/>
    </row>
    <row r="1970" spans="1:5">
      <c r="A1970" s="421" t="s">
        <v>3</v>
      </c>
      <c r="B1970" s="41" t="str">
        <f>VLOOKUP($B1968,'BANG LUONG 1'!$B$5:$AJ$47,C1970,0)</f>
        <v xml:space="preserve">Công nhân </v>
      </c>
      <c r="C1970" s="421">
        <v>3</v>
      </c>
      <c r="D1970" s="41"/>
    </row>
    <row r="1971" spans="1:5">
      <c r="A1971" s="421" t="s">
        <v>376</v>
      </c>
      <c r="B1971" s="410">
        <f>VLOOKUP($B1968,'BANG LUONG 1'!$B$4:$AJ$55,4,0)</f>
        <v>40869</v>
      </c>
      <c r="C1971" s="421">
        <v>4</v>
      </c>
      <c r="D1971" s="41"/>
    </row>
    <row r="1972" spans="1:5">
      <c r="A1972" s="421" t="s">
        <v>698</v>
      </c>
      <c r="B1972" s="411">
        <f>VLOOKUP(B1968,'BANG LUONG 1'!$B$4:$AJ$55,6,0)</f>
        <v>7.0000000000000007E-2</v>
      </c>
      <c r="C1972" s="421">
        <v>5</v>
      </c>
      <c r="D1972" s="41"/>
    </row>
    <row r="1973" spans="1:5">
      <c r="A1973" s="421" t="s">
        <v>229</v>
      </c>
      <c r="B1973" s="412">
        <f>'thang luong moi'!$F$5</f>
        <v>4012500</v>
      </c>
      <c r="C1973" s="421">
        <v>6</v>
      </c>
      <c r="D1973" s="41"/>
    </row>
    <row r="1974" spans="1:5">
      <c r="A1974" s="421" t="s">
        <v>217</v>
      </c>
      <c r="B1974" s="412" t="str">
        <f>VLOOKUP(B1968,'BANG LUONG 1'!$B$4:$AJ$55,8,0)</f>
        <v>B.05</v>
      </c>
      <c r="C1974" s="421">
        <v>7</v>
      </c>
      <c r="D1974" s="41"/>
    </row>
    <row r="1975" spans="1:5">
      <c r="A1975" s="421" t="s">
        <v>230</v>
      </c>
      <c r="B1975" s="412">
        <f>VLOOKUP(B1968,'BANG LUONG 1'!$B$4:$AJ$55,9,0)</f>
        <v>1</v>
      </c>
      <c r="C1975" s="421">
        <v>8</v>
      </c>
      <c r="D1975" s="41"/>
    </row>
    <row r="1976" spans="1:5">
      <c r="A1976" s="421" t="s">
        <v>538</v>
      </c>
      <c r="B1976" s="412">
        <f>VLOOKUP(B1968,'BANG LUONG 1'!$B$4:$AJ$55,11,0)</f>
        <v>4213125</v>
      </c>
      <c r="C1976" s="421">
        <v>9</v>
      </c>
      <c r="D1976" s="41"/>
    </row>
    <row r="1977" spans="1:5">
      <c r="A1977" s="421" t="s">
        <v>354</v>
      </c>
      <c r="B1977" s="412">
        <f>VLOOKUP(B1968,'BANG LUONG 1'!$B$4:$AJ$55,12,0)</f>
        <v>27</v>
      </c>
      <c r="C1977" s="421">
        <v>10</v>
      </c>
      <c r="D1977" s="41"/>
    </row>
    <row r="1978" spans="1:5">
      <c r="A1978" s="421" t="s">
        <v>534</v>
      </c>
      <c r="B1978" s="412">
        <f>VLOOKUP(B1968,'BANG LUONG 1'!$B$4:$AJ$55,13,0)</f>
        <v>4375168.269230769</v>
      </c>
      <c r="C1978" s="421">
        <v>11</v>
      </c>
      <c r="D1978" s="41"/>
    </row>
    <row r="1979" spans="1:5">
      <c r="A1979" s="421" t="s">
        <v>592</v>
      </c>
      <c r="B1979" s="412">
        <f>VLOOKUP(B1968,'BANG LUONG 1'!$B$4:$AJ$55,14,0)</f>
        <v>0</v>
      </c>
      <c r="C1979" s="421">
        <v>12</v>
      </c>
      <c r="D1979" s="41">
        <f>B1976/26*B1979</f>
        <v>0</v>
      </c>
    </row>
    <row r="1980" spans="1:5">
      <c r="A1980" s="421" t="s">
        <v>357</v>
      </c>
      <c r="B1980" s="412">
        <f>VLOOKUP(B1968,'BANG LUONG 1'!$B$4:$AJ$55,15,0)</f>
        <v>0</v>
      </c>
      <c r="C1980" s="421">
        <v>13</v>
      </c>
      <c r="D1980" s="41">
        <f>B1976/26/8*1.5*B1980</f>
        <v>0</v>
      </c>
    </row>
    <row r="1981" spans="1:5">
      <c r="A1981" s="421" t="s">
        <v>387</v>
      </c>
      <c r="B1981" s="412">
        <f>VLOOKUP(B1968,'BANG LUONG 1'!$B$4:$AJ$55,16,0)</f>
        <v>0</v>
      </c>
      <c r="C1981" s="421">
        <v>14</v>
      </c>
      <c r="D1981" s="41">
        <f>B1976/26/8*2*B1981</f>
        <v>0</v>
      </c>
    </row>
    <row r="1982" spans="1:5">
      <c r="A1982" s="421" t="s">
        <v>593</v>
      </c>
      <c r="B1982" s="412">
        <f>VLOOKUP(B1968,'BANG LUONG 1'!$B$4:$AJ$55,17,0)</f>
        <v>0</v>
      </c>
      <c r="C1982" s="421"/>
      <c r="D1982" s="41">
        <f>(B1976/26)*B1982</f>
        <v>0</v>
      </c>
    </row>
    <row r="1983" spans="1:5">
      <c r="A1983" s="421" t="s">
        <v>388</v>
      </c>
      <c r="B1983" s="412">
        <f>VLOOKUP(B1968,'BANG LUONG 1'!$B$4:$AJ$55,18,0)</f>
        <v>0</v>
      </c>
      <c r="C1983" s="421">
        <v>15</v>
      </c>
      <c r="D1983" s="41">
        <f>(B1976/26*B1983)*3</f>
        <v>0</v>
      </c>
    </row>
    <row r="1984" spans="1:5">
      <c r="A1984" s="421" t="s">
        <v>533</v>
      </c>
      <c r="B1984" s="412">
        <f>VLOOKUP(B1968,'BANG LUONG 1'!$B$4:$AJ$55,19,0)</f>
        <v>4375168.269230769</v>
      </c>
      <c r="C1984" s="183">
        <v>16</v>
      </c>
      <c r="D1984" s="185">
        <f>B1978+D1980+D1981+D1979+D1983+D1982</f>
        <v>4375168.269230769</v>
      </c>
      <c r="E1984" s="108"/>
    </row>
    <row r="1985" spans="1:5">
      <c r="A1985" s="421" t="s">
        <v>535</v>
      </c>
      <c r="B1985" s="412">
        <f>VLOOKUP(B1968,'BANG LUONG 1'!$B$4:$AJ$55,20,0)</f>
        <v>-4375168.269230769</v>
      </c>
      <c r="C1985" s="421">
        <v>17</v>
      </c>
      <c r="D1985" s="41"/>
    </row>
    <row r="1986" spans="1:5">
      <c r="A1986" s="421" t="s">
        <v>370</v>
      </c>
      <c r="B1986" s="412">
        <f>VLOOKUP(B1968,'BANG LUONG 1'!$B$4:$AJ$55,22,0)</f>
        <v>294918.75</v>
      </c>
      <c r="C1986" s="421">
        <v>18</v>
      </c>
      <c r="D1986" s="41"/>
    </row>
    <row r="1987" spans="1:5">
      <c r="A1987" s="421" t="s">
        <v>371</v>
      </c>
      <c r="B1987" s="412">
        <f>VLOOKUP(B1968,'BANG LUONG 1'!$B$4:$AJ$55,23,0)</f>
        <v>300000</v>
      </c>
      <c r="C1987" s="421">
        <v>19</v>
      </c>
      <c r="D1987" s="41"/>
    </row>
    <row r="1988" spans="1:5">
      <c r="A1988" s="421" t="s">
        <v>560</v>
      </c>
      <c r="B1988" s="412">
        <f>VLOOKUP(B1968,'BANG LUONG 1'!$B$4:$AJ$55,24,0)</f>
        <v>0</v>
      </c>
      <c r="C1988" s="421">
        <v>22</v>
      </c>
      <c r="D1988" s="41"/>
    </row>
    <row r="1989" spans="1:5">
      <c r="A1989" s="183" t="s">
        <v>237</v>
      </c>
      <c r="B1989" s="415">
        <f>VLOOKUP(B1968,'BANG LUONG 1'!$B$4:$AJ$55,26,0)</f>
        <v>594918.75</v>
      </c>
      <c r="C1989" s="421">
        <v>24</v>
      </c>
      <c r="D1989" s="41"/>
    </row>
    <row r="1990" spans="1:5">
      <c r="A1990" s="421" t="s">
        <v>545</v>
      </c>
      <c r="B1990" s="412">
        <f>VLOOKUP(B1968,'BANG LUONG 1'!$B$4:$AJ$55,27,0)</f>
        <v>4000000</v>
      </c>
      <c r="C1990" s="421">
        <v>25</v>
      </c>
      <c r="D1990" s="41"/>
    </row>
    <row r="1991" spans="1:5">
      <c r="A1991" s="421" t="s">
        <v>544</v>
      </c>
      <c r="B1991" s="412">
        <f>VLOOKUP(B1968,'BANG LUONG 1'!$B$4:$AJ$55,28,0)</f>
        <v>480585</v>
      </c>
      <c r="C1991" s="421">
        <v>26</v>
      </c>
      <c r="D1991" s="41"/>
    </row>
    <row r="1992" spans="1:5">
      <c r="A1992" s="421" t="s">
        <v>713</v>
      </c>
      <c r="B1992" s="415">
        <f>VLOOKUP(B1968,'BANG LUONG 1'!$B$4:$AJ$55,32,0)</f>
        <v>0</v>
      </c>
      <c r="C1992" s="421"/>
      <c r="D1992" s="41"/>
    </row>
    <row r="1993" spans="1:5">
      <c r="A1993" s="421" t="s">
        <v>714</v>
      </c>
      <c r="B1993" s="415">
        <f>VLOOKUP(B1968,'BANG LUONG 1'!$B$4:$AJ$55,33,0)</f>
        <v>0</v>
      </c>
      <c r="C1993" s="421"/>
      <c r="D1993" s="41"/>
    </row>
    <row r="1994" spans="1:5">
      <c r="A1994" s="183" t="s">
        <v>707</v>
      </c>
      <c r="B1994" s="415">
        <f>VLOOKUP(B1968,'BANG LUONG 1'!$B$4:$AJ$55,34,0)</f>
        <v>0</v>
      </c>
      <c r="C1994" s="421"/>
      <c r="D1994" s="41"/>
      <c r="E1994" s="108" t="str">
        <f>B1969</f>
        <v>Nguyễn Tấn Kiệt</v>
      </c>
    </row>
    <row r="1995" spans="1:5">
      <c r="A1995" s="183" t="s">
        <v>546</v>
      </c>
      <c r="B1995" s="415">
        <f>VLOOKUP(B1968,'BANG LUONG 1'!$B$4:$AJ$55,35,0)</f>
        <v>-3886000</v>
      </c>
      <c r="C1995" s="421"/>
      <c r="D1995" s="41"/>
    </row>
    <row r="1996" spans="1:5">
      <c r="A1996" s="184" t="s">
        <v>549</v>
      </c>
      <c r="B1996" s="424">
        <f>'BANG LUONG 1'!$P$2</f>
        <v>43702</v>
      </c>
    </row>
    <row r="1997" spans="1:5">
      <c r="A1997" s="183" t="s">
        <v>1</v>
      </c>
      <c r="B1997" s="185" t="s">
        <v>155</v>
      </c>
      <c r="C1997" s="421">
        <v>1</v>
      </c>
      <c r="D1997" s="41"/>
    </row>
    <row r="1998" spans="1:5">
      <c r="A1998" s="183" t="s">
        <v>2</v>
      </c>
      <c r="B1998" s="185" t="str">
        <f>VLOOKUP($B1997,'BANG LUONG 1'!$B$5:$AB$47,C1998,0)</f>
        <v>Nguyễn Văn Rắng</v>
      </c>
      <c r="C1998" s="421">
        <v>2</v>
      </c>
      <c r="D1998" s="41"/>
    </row>
    <row r="1999" spans="1:5">
      <c r="A1999" s="421" t="s">
        <v>3</v>
      </c>
      <c r="B1999" s="41" t="str">
        <f>VLOOKUP($B1997,'BANG LUONG 1'!$B$5:$AJ$47,C1999,0)</f>
        <v xml:space="preserve">Công nhân </v>
      </c>
      <c r="C1999" s="421">
        <v>3</v>
      </c>
      <c r="D1999" s="41"/>
    </row>
    <row r="2000" spans="1:5">
      <c r="A2000" s="421" t="s">
        <v>376</v>
      </c>
      <c r="B2000" s="410">
        <f>VLOOKUP($B1997,'BANG LUONG 1'!$B$4:$AJ$55,4,0)</f>
        <v>42422</v>
      </c>
      <c r="C2000" s="421">
        <v>4</v>
      </c>
      <c r="D2000" s="41"/>
    </row>
    <row r="2001" spans="1:7">
      <c r="A2001" s="421" t="s">
        <v>698</v>
      </c>
      <c r="B2001" s="411">
        <f>VLOOKUP(B1997,'BANG LUONG 1'!$B$4:$AJ$55,6,0)</f>
        <v>0.03</v>
      </c>
      <c r="C2001" s="421">
        <v>5</v>
      </c>
      <c r="D2001" s="41"/>
    </row>
    <row r="2002" spans="1:7">
      <c r="A2002" s="421" t="s">
        <v>229</v>
      </c>
      <c r="B2002" s="412">
        <f>'thang luong moi'!$F$5</f>
        <v>4012500</v>
      </c>
      <c r="C2002" s="421">
        <v>6</v>
      </c>
      <c r="D2002" s="41"/>
    </row>
    <row r="2003" spans="1:7">
      <c r="A2003" s="421" t="s">
        <v>217</v>
      </c>
      <c r="B2003" s="412" t="str">
        <f>VLOOKUP(B1997,'BANG LUONG 1'!$B$4:$AJ$55,8,0)</f>
        <v>B.05</v>
      </c>
      <c r="C2003" s="421">
        <v>7</v>
      </c>
      <c r="D2003" s="41"/>
    </row>
    <row r="2004" spans="1:7">
      <c r="A2004" s="421" t="s">
        <v>230</v>
      </c>
      <c r="B2004" s="412">
        <f>VLOOKUP(B1997,'BANG LUONG 1'!$B$4:$AJ$55,9,0)</f>
        <v>1</v>
      </c>
      <c r="C2004" s="421">
        <v>8</v>
      </c>
      <c r="D2004" s="41"/>
    </row>
    <row r="2005" spans="1:7">
      <c r="A2005" s="421" t="s">
        <v>538</v>
      </c>
      <c r="B2005" s="412">
        <f>VLOOKUP(B1997,'BANG LUONG 1'!$B$4:$AJ$55,11,0)</f>
        <v>4213125</v>
      </c>
      <c r="C2005" s="421">
        <v>9</v>
      </c>
      <c r="D2005" s="41"/>
    </row>
    <row r="2006" spans="1:7">
      <c r="A2006" s="421" t="s">
        <v>354</v>
      </c>
      <c r="B2006" s="412">
        <f>VLOOKUP(B1997,'BANG LUONG 1'!$B$4:$AJ$55,12,0)</f>
        <v>27</v>
      </c>
      <c r="C2006" s="421">
        <v>10</v>
      </c>
      <c r="D2006" s="41"/>
    </row>
    <row r="2007" spans="1:7">
      <c r="A2007" s="421" t="s">
        <v>534</v>
      </c>
      <c r="B2007" s="412">
        <f>VLOOKUP(B1997,'BANG LUONG 1'!$B$4:$AJ$55,13,0)</f>
        <v>4375168.269230769</v>
      </c>
      <c r="C2007" s="421">
        <v>11</v>
      </c>
      <c r="D2007" s="41"/>
    </row>
    <row r="2008" spans="1:7">
      <c r="A2008" s="421" t="s">
        <v>592</v>
      </c>
      <c r="B2008" s="412">
        <f>VLOOKUP(B1997,'BANG LUONG 1'!$B$4:$AJ$55,14,0)</f>
        <v>0</v>
      </c>
      <c r="C2008" s="421">
        <v>12</v>
      </c>
      <c r="D2008" s="41">
        <f>B2005/26*B2008</f>
        <v>0</v>
      </c>
      <c r="E2008" s="974"/>
      <c r="F2008" s="975"/>
      <c r="G2008" s="976"/>
    </row>
    <row r="2009" spans="1:7">
      <c r="A2009" s="421" t="s">
        <v>357</v>
      </c>
      <c r="B2009" s="412">
        <f>VLOOKUP(B1997,'BANG LUONG 1'!$B$4:$AJ$55,15,0)</f>
        <v>0</v>
      </c>
      <c r="C2009" s="421">
        <v>13</v>
      </c>
      <c r="D2009" s="41">
        <f>B2005/26/8*1.5*B2009</f>
        <v>0</v>
      </c>
      <c r="E2009" s="521"/>
      <c r="F2009" s="521"/>
      <c r="G2009" s="521"/>
    </row>
    <row r="2010" spans="1:7">
      <c r="A2010" s="421" t="s">
        <v>387</v>
      </c>
      <c r="B2010" s="412">
        <f>VLOOKUP(B1997,'BANG LUONG 1'!$B$4:$AJ$55,16,0)</f>
        <v>0</v>
      </c>
      <c r="C2010" s="421">
        <v>14</v>
      </c>
      <c r="D2010" s="41">
        <f>B2005/26/8*2*B2010</f>
        <v>0</v>
      </c>
      <c r="E2010" s="521"/>
      <c r="F2010" s="521"/>
      <c r="G2010" s="521"/>
    </row>
    <row r="2011" spans="1:7">
      <c r="A2011" s="421" t="s">
        <v>593</v>
      </c>
      <c r="B2011" s="412">
        <f>VLOOKUP(B1997,'BANG LUONG 1'!$B$4:$AJ$55,17,0)</f>
        <v>0</v>
      </c>
      <c r="C2011" s="421"/>
      <c r="D2011" s="41">
        <f>(B2005/26)*B2011</f>
        <v>0</v>
      </c>
      <c r="E2011" s="521"/>
      <c r="F2011" s="521"/>
      <c r="G2011" s="521"/>
    </row>
    <row r="2012" spans="1:7">
      <c r="A2012" s="421" t="s">
        <v>388</v>
      </c>
      <c r="B2012" s="412">
        <f>VLOOKUP(B1997,'BANG LUONG 1'!$B$4:$AJ$55,18,0)</f>
        <v>0</v>
      </c>
      <c r="C2012" s="421">
        <v>15</v>
      </c>
      <c r="D2012" s="41">
        <f>(B2005/26*B2012)*3</f>
        <v>0</v>
      </c>
      <c r="E2012" s="521"/>
      <c r="F2012" s="521"/>
      <c r="G2012" s="521"/>
    </row>
    <row r="2013" spans="1:7">
      <c r="A2013" s="421" t="s">
        <v>533</v>
      </c>
      <c r="B2013" s="412">
        <f>VLOOKUP(B1997,'BANG LUONG 1'!$B$4:$AJ$55,19,0)</f>
        <v>4375168.269230769</v>
      </c>
      <c r="C2013" s="183">
        <v>16</v>
      </c>
      <c r="D2013" s="185">
        <f>B2007+D2009+D2010+D2008+D2012+D2011</f>
        <v>4375168.269230769</v>
      </c>
      <c r="E2013" s="523"/>
      <c r="F2013" s="521"/>
      <c r="G2013" s="521"/>
    </row>
    <row r="2014" spans="1:7">
      <c r="A2014" s="421" t="s">
        <v>535</v>
      </c>
      <c r="B2014" s="412">
        <f>VLOOKUP(B1997,'BANG LUONG 1'!$B$4:$AJ$55,20,0)</f>
        <v>-4117214.423076923</v>
      </c>
      <c r="C2014" s="421">
        <v>17</v>
      </c>
      <c r="D2014" s="41"/>
      <c r="E2014" s="521"/>
      <c r="F2014" s="521"/>
      <c r="G2014" s="521"/>
    </row>
    <row r="2015" spans="1:7">
      <c r="A2015" s="421" t="s">
        <v>370</v>
      </c>
      <c r="B2015" s="412">
        <f>VLOOKUP(B1997,'BANG LUONG 1'!$B$4:$AJ$55,22,0)</f>
        <v>126393.75</v>
      </c>
      <c r="C2015" s="421">
        <v>18</v>
      </c>
      <c r="D2015" s="41"/>
      <c r="E2015" s="521"/>
      <c r="F2015" s="521"/>
      <c r="G2015" s="521"/>
    </row>
    <row r="2016" spans="1:7">
      <c r="A2016" s="421" t="s">
        <v>371</v>
      </c>
      <c r="B2016" s="412">
        <f>VLOOKUP(B1997,'BANG LUONG 1'!$B$4:$AJ$55,23,0)</f>
        <v>300000</v>
      </c>
      <c r="C2016" s="421">
        <v>19</v>
      </c>
      <c r="D2016" s="41"/>
      <c r="E2016" s="521"/>
      <c r="F2016" s="523"/>
      <c r="G2016" s="521"/>
    </row>
    <row r="2017" spans="1:5">
      <c r="A2017" s="421" t="s">
        <v>560</v>
      </c>
      <c r="B2017" s="412">
        <f>VLOOKUP(B1997,'BANG LUONG 1'!$B$4:$AJ$55,24,0)</f>
        <v>0</v>
      </c>
      <c r="C2017" s="421">
        <v>22</v>
      </c>
      <c r="D2017" s="41"/>
    </row>
    <row r="2018" spans="1:5">
      <c r="A2018" s="183" t="s">
        <v>237</v>
      </c>
      <c r="B2018" s="415">
        <f>VLOOKUP(B1997,'BANG LUONG 1'!$B$4:$AJ$55,26,0)</f>
        <v>684347.59615384601</v>
      </c>
      <c r="C2018" s="421">
        <v>24</v>
      </c>
      <c r="D2018" s="41"/>
    </row>
    <row r="2019" spans="1:5">
      <c r="A2019" s="421" t="s">
        <v>545</v>
      </c>
      <c r="B2019" s="412">
        <f>VLOOKUP(B1997,'BANG LUONG 1'!$B$4:$AJ$55,27,0)</f>
        <v>4000000</v>
      </c>
      <c r="C2019" s="421">
        <v>25</v>
      </c>
      <c r="D2019" s="41"/>
      <c r="E2019" s="524"/>
    </row>
    <row r="2020" spans="1:5">
      <c r="A2020" s="421" t="s">
        <v>544</v>
      </c>
      <c r="B2020" s="412">
        <f>VLOOKUP(B1997,'BANG LUONG 1'!$B$4:$AJ$55,28,0)</f>
        <v>480585</v>
      </c>
      <c r="C2020" s="421">
        <v>26</v>
      </c>
      <c r="D2020" s="41"/>
    </row>
    <row r="2021" spans="1:5">
      <c r="A2021" s="421" t="s">
        <v>713</v>
      </c>
      <c r="B2021" s="415">
        <f>VLOOKUP(B1997,'BANG LUONG 1'!$B$4:$AJ$55,32,0)</f>
        <v>0</v>
      </c>
      <c r="C2021" s="421"/>
      <c r="D2021" s="41"/>
    </row>
    <row r="2022" spans="1:5">
      <c r="A2022" s="421" t="s">
        <v>714</v>
      </c>
      <c r="B2022" s="415">
        <f>VLOOKUP(B1997,'BANG LUONG 1'!$B$4:$AJ$55,33,0)</f>
        <v>0</v>
      </c>
      <c r="C2022" s="421"/>
      <c r="D2022" s="41"/>
    </row>
    <row r="2023" spans="1:5">
      <c r="A2023" s="183" t="s">
        <v>707</v>
      </c>
      <c r="B2023" s="415">
        <f>VLOOKUP(B1997,'BANG LUONG 1'!$B$4:$AJ$55,34,0)</f>
        <v>0</v>
      </c>
      <c r="C2023" s="421"/>
      <c r="D2023" s="41"/>
      <c r="E2023" s="108" t="str">
        <f>B1998</f>
        <v>Nguyễn Văn Rắng</v>
      </c>
    </row>
    <row r="2024" spans="1:5">
      <c r="A2024" s="183" t="s">
        <v>546</v>
      </c>
      <c r="B2024" s="415">
        <f>VLOOKUP(B1997,'BANG LUONG 1'!$B$4:$AJ$55,35,0)</f>
        <v>-3796000</v>
      </c>
      <c r="C2024" s="421"/>
      <c r="D2024" s="41"/>
    </row>
    <row r="2025" spans="1:5">
      <c r="A2025" s="184" t="s">
        <v>549</v>
      </c>
      <c r="B2025" s="424">
        <f>'BANG LUONG 1'!$P$2</f>
        <v>43702</v>
      </c>
    </row>
    <row r="2026" spans="1:5">
      <c r="A2026" s="183" t="s">
        <v>1</v>
      </c>
      <c r="B2026" s="185" t="s">
        <v>156</v>
      </c>
      <c r="C2026" s="421">
        <v>1</v>
      </c>
      <c r="D2026" s="41"/>
    </row>
    <row r="2027" spans="1:5">
      <c r="A2027" s="183" t="s">
        <v>2</v>
      </c>
      <c r="B2027" s="185" t="str">
        <f>VLOOKUP($B2026,'BANG LUONG 1'!$B$5:$AB$47,C2027,0)</f>
        <v>Lê Ngọc Đức</v>
      </c>
      <c r="C2027" s="421">
        <v>2</v>
      </c>
      <c r="D2027" s="41"/>
    </row>
    <row r="2028" spans="1:5">
      <c r="A2028" s="421" t="s">
        <v>3</v>
      </c>
      <c r="B2028" s="41" t="str">
        <f>VLOOKUP($B2026,'BANG LUONG 1'!$B$5:$AJ$47,C2028,0)</f>
        <v xml:space="preserve">Công nhân </v>
      </c>
      <c r="C2028" s="421">
        <v>3</v>
      </c>
      <c r="D2028" s="41"/>
    </row>
    <row r="2029" spans="1:5">
      <c r="A2029" s="421" t="s">
        <v>376</v>
      </c>
      <c r="B2029" s="410">
        <f>VLOOKUP($B2026,'BANG LUONG 1'!$B$4:$AJ$55,4,0)</f>
        <v>43453</v>
      </c>
      <c r="C2029" s="421">
        <v>4</v>
      </c>
      <c r="D2029" s="41"/>
    </row>
    <row r="2030" spans="1:5">
      <c r="A2030" s="421" t="s">
        <v>698</v>
      </c>
      <c r="B2030" s="411">
        <f>VLOOKUP(B2026,'BANG LUONG 1'!$B$4:$AJ$55,6,0)</f>
        <v>0</v>
      </c>
      <c r="C2030" s="421">
        <v>5</v>
      </c>
      <c r="D2030" s="41"/>
    </row>
    <row r="2031" spans="1:5">
      <c r="A2031" s="421" t="s">
        <v>229</v>
      </c>
      <c r="B2031" s="412">
        <f>'thang luong moi'!$F$5</f>
        <v>4012500</v>
      </c>
      <c r="C2031" s="421">
        <v>6</v>
      </c>
      <c r="D2031" s="41"/>
    </row>
    <row r="2032" spans="1:5">
      <c r="A2032" s="421" t="s">
        <v>217</v>
      </c>
      <c r="B2032" s="412" t="str">
        <f>VLOOKUP(B2026,'BANG LUONG 1'!$B$4:$AJ$55,8,0)</f>
        <v>B.05</v>
      </c>
      <c r="C2032" s="421">
        <v>7</v>
      </c>
      <c r="D2032" s="41"/>
    </row>
    <row r="2033" spans="1:7">
      <c r="A2033" s="421" t="s">
        <v>230</v>
      </c>
      <c r="B2033" s="412">
        <f>VLOOKUP(B2026,'BANG LUONG 1'!$B$4:$AJ$55,9,0)</f>
        <v>1</v>
      </c>
      <c r="C2033" s="421">
        <v>8</v>
      </c>
      <c r="D2033" s="41"/>
    </row>
    <row r="2034" spans="1:7">
      <c r="A2034" s="421" t="s">
        <v>538</v>
      </c>
      <c r="B2034" s="412">
        <f>VLOOKUP(B2026,'BANG LUONG 1'!$B$4:$AJ$55,11,0)</f>
        <v>4213125</v>
      </c>
      <c r="C2034" s="421">
        <v>9</v>
      </c>
      <c r="D2034" s="41"/>
    </row>
    <row r="2035" spans="1:7">
      <c r="A2035" s="421" t="s">
        <v>354</v>
      </c>
      <c r="B2035" s="412">
        <f>VLOOKUP(B2026,'BANG LUONG 1'!$B$4:$AJ$55,12,0)</f>
        <v>27</v>
      </c>
      <c r="C2035" s="421">
        <v>10</v>
      </c>
      <c r="D2035" s="41"/>
    </row>
    <row r="2036" spans="1:7">
      <c r="A2036" s="421" t="s">
        <v>534</v>
      </c>
      <c r="B2036" s="412">
        <f>VLOOKUP(B2026,'BANG LUONG 1'!$B$4:$AJ$55,13,0)</f>
        <v>4375168.269230769</v>
      </c>
      <c r="C2036" s="421">
        <v>11</v>
      </c>
      <c r="D2036" s="41"/>
    </row>
    <row r="2037" spans="1:7">
      <c r="A2037" s="421" t="s">
        <v>592</v>
      </c>
      <c r="B2037" s="412">
        <f>VLOOKUP(B2026,'BANG LUONG 1'!$B$4:$AJ$55,14,0)</f>
        <v>0</v>
      </c>
      <c r="C2037" s="421">
        <v>12</v>
      </c>
      <c r="D2037" s="41">
        <f>B2034/26*B2037</f>
        <v>0</v>
      </c>
      <c r="E2037" s="974"/>
      <c r="F2037" s="975"/>
      <c r="G2037" s="976"/>
    </row>
    <row r="2038" spans="1:7">
      <c r="A2038" s="421" t="s">
        <v>357</v>
      </c>
      <c r="B2038" s="412">
        <f>VLOOKUP(B2026,'BANG LUONG 1'!$B$4:$AJ$55,15,0)</f>
        <v>0</v>
      </c>
      <c r="C2038" s="421">
        <v>13</v>
      </c>
      <c r="D2038" s="41">
        <f>B2034/26/8*1.5*B2038</f>
        <v>0</v>
      </c>
      <c r="E2038" s="521"/>
      <c r="F2038" s="521"/>
      <c r="G2038" s="521"/>
    </row>
    <row r="2039" spans="1:7">
      <c r="A2039" s="421" t="s">
        <v>387</v>
      </c>
      <c r="B2039" s="412">
        <f>VLOOKUP(B2026,'BANG LUONG 1'!$B$4:$AJ$55,16,0)</f>
        <v>0</v>
      </c>
      <c r="C2039" s="421">
        <v>14</v>
      </c>
      <c r="D2039" s="41">
        <f>B2034/26/8*2*B2039</f>
        <v>0</v>
      </c>
      <c r="E2039" s="521"/>
      <c r="F2039" s="521"/>
      <c r="G2039" s="521"/>
    </row>
    <row r="2040" spans="1:7">
      <c r="A2040" s="421" t="s">
        <v>593</v>
      </c>
      <c r="B2040" s="412">
        <f>VLOOKUP(B2026,'BANG LUONG 1'!$B$4:$AJ$55,17,0)</f>
        <v>0</v>
      </c>
      <c r="C2040" s="421"/>
      <c r="D2040" s="41">
        <f>(B2034/26)*B2040</f>
        <v>0</v>
      </c>
      <c r="E2040" s="521"/>
      <c r="F2040" s="521"/>
      <c r="G2040" s="521"/>
    </row>
    <row r="2041" spans="1:7">
      <c r="A2041" s="421" t="s">
        <v>388</v>
      </c>
      <c r="B2041" s="412">
        <f>VLOOKUP(B2026,'BANG LUONG 1'!$B$4:$AJ$55,18,0)</f>
        <v>0</v>
      </c>
      <c r="C2041" s="421">
        <v>15</v>
      </c>
      <c r="D2041" s="41">
        <f>(B2034/26*B2041)*3</f>
        <v>0</v>
      </c>
      <c r="E2041" s="521"/>
      <c r="F2041" s="521"/>
      <c r="G2041" s="521"/>
    </row>
    <row r="2042" spans="1:7">
      <c r="A2042" s="421" t="s">
        <v>533</v>
      </c>
      <c r="B2042" s="412">
        <f>VLOOKUP(B2026,'BANG LUONG 1'!$B$4:$AJ$55,19,0)</f>
        <v>4375168.269230769</v>
      </c>
      <c r="C2042" s="183">
        <v>16</v>
      </c>
      <c r="D2042" s="185">
        <f>B2036+D2038+D2039+D2037+D2041+D2040</f>
        <v>4375168.269230769</v>
      </c>
      <c r="E2042" s="523"/>
      <c r="F2042" s="521"/>
      <c r="G2042" s="521"/>
    </row>
    <row r="2043" spans="1:7">
      <c r="A2043" s="421" t="s">
        <v>535</v>
      </c>
      <c r="B2043" s="412">
        <f>VLOOKUP(B2026,'BANG LUONG 1'!$B$4:$AJ$55,20,0)</f>
        <v>-4375168.269230769</v>
      </c>
      <c r="C2043" s="421">
        <v>17</v>
      </c>
      <c r="D2043" s="41"/>
      <c r="E2043" s="521"/>
      <c r="F2043" s="521"/>
      <c r="G2043" s="521"/>
    </row>
    <row r="2044" spans="1:7">
      <c r="A2044" s="421" t="s">
        <v>370</v>
      </c>
      <c r="B2044" s="412">
        <f>VLOOKUP(B2026,'BANG LUONG 1'!$B$4:$AJ$55,22,0)</f>
        <v>0</v>
      </c>
      <c r="C2044" s="421">
        <v>18</v>
      </c>
      <c r="D2044" s="41"/>
      <c r="E2044" s="521"/>
      <c r="F2044" s="521"/>
      <c r="G2044" s="521"/>
    </row>
    <row r="2045" spans="1:7">
      <c r="A2045" s="421" t="s">
        <v>371</v>
      </c>
      <c r="B2045" s="412">
        <f>VLOOKUP(B2026,'BANG LUONG 1'!$B$4:$AJ$55,23,0)</f>
        <v>300000</v>
      </c>
      <c r="C2045" s="421">
        <v>19</v>
      </c>
      <c r="D2045" s="41"/>
      <c r="E2045" s="521"/>
      <c r="F2045" s="523"/>
      <c r="G2045" s="521"/>
    </row>
    <row r="2046" spans="1:7">
      <c r="A2046" s="421" t="s">
        <v>560</v>
      </c>
      <c r="B2046" s="412">
        <f>VLOOKUP(B2026,'BANG LUONG 1'!$B$4:$AJ$55,24,0)</f>
        <v>0</v>
      </c>
      <c r="C2046" s="421">
        <v>22</v>
      </c>
      <c r="D2046" s="41"/>
    </row>
    <row r="2047" spans="1:7">
      <c r="A2047" s="183" t="s">
        <v>237</v>
      </c>
      <c r="B2047" s="415">
        <f>VLOOKUP(B2026,'BANG LUONG 1'!$B$4:$AJ$55,26,0)</f>
        <v>300000</v>
      </c>
      <c r="C2047" s="421">
        <v>24</v>
      </c>
      <c r="D2047" s="41"/>
    </row>
    <row r="2048" spans="1:7">
      <c r="A2048" s="421" t="s">
        <v>545</v>
      </c>
      <c r="B2048" s="412">
        <f>VLOOKUP(B2026,'BANG LUONG 1'!$B$4:$AJ$55,27,0)</f>
        <v>4000000</v>
      </c>
      <c r="C2048" s="421">
        <v>25</v>
      </c>
      <c r="D2048" s="41"/>
      <c r="E2048" s="524"/>
    </row>
    <row r="2049" spans="1:5">
      <c r="A2049" s="421" t="s">
        <v>544</v>
      </c>
      <c r="B2049" s="412">
        <f>VLOOKUP(B2026,'BANG LUONG 1'!$B$4:$AJ$55,28,0)</f>
        <v>0</v>
      </c>
      <c r="C2049" s="421">
        <v>26</v>
      </c>
      <c r="D2049" s="41"/>
    </row>
    <row r="2050" spans="1:5">
      <c r="A2050" s="421" t="s">
        <v>713</v>
      </c>
      <c r="B2050" s="415">
        <f>VLOOKUP(B2026,'BANG LUONG 1'!$B$4:$AJ$55,32,0)</f>
        <v>0</v>
      </c>
      <c r="C2050" s="421"/>
      <c r="D2050" s="41"/>
    </row>
    <row r="2051" spans="1:5">
      <c r="A2051" s="421" t="s">
        <v>714</v>
      </c>
      <c r="B2051" s="415">
        <f>VLOOKUP(B2026,'BANG LUONG 1'!$B$4:$AJ$55,33,0)</f>
        <v>0</v>
      </c>
      <c r="C2051" s="421"/>
      <c r="D2051" s="41"/>
    </row>
    <row r="2052" spans="1:5">
      <c r="A2052" s="183" t="s">
        <v>707</v>
      </c>
      <c r="B2052" s="415">
        <f>VLOOKUP(B2026,'BANG LUONG 1'!$B$4:$AJ$55,34,0)</f>
        <v>0</v>
      </c>
      <c r="C2052" s="421"/>
      <c r="D2052" s="41"/>
      <c r="E2052" s="108" t="str">
        <f>B2027</f>
        <v>Lê Ngọc Đức</v>
      </c>
    </row>
    <row r="2053" spans="1:5">
      <c r="A2053" s="183" t="s">
        <v>546</v>
      </c>
      <c r="B2053" s="415">
        <f>VLOOKUP(B2026,'BANG LUONG 1'!$B$4:$AJ$55,35,0)</f>
        <v>-3700000</v>
      </c>
      <c r="C2053" s="421"/>
      <c r="D2053" s="41"/>
    </row>
    <row r="2054" spans="1:5">
      <c r="A2054" s="184" t="s">
        <v>549</v>
      </c>
      <c r="B2054" s="424">
        <f>'BANG LUONG 1'!$P$2</f>
        <v>43702</v>
      </c>
    </row>
    <row r="2055" spans="1:5">
      <c r="A2055" s="183" t="s">
        <v>1</v>
      </c>
      <c r="B2055" s="185" t="s">
        <v>157</v>
      </c>
      <c r="C2055" s="421">
        <v>1</v>
      </c>
      <c r="D2055" s="41"/>
    </row>
    <row r="2056" spans="1:5">
      <c r="A2056" s="183" t="s">
        <v>2</v>
      </c>
      <c r="B2056" s="185" t="e">
        <f>VLOOKUP($B2055,'BANG LUONG 1'!$B$5:$AB$47,C2056,0)</f>
        <v>#N/A</v>
      </c>
      <c r="C2056" s="421">
        <v>2</v>
      </c>
      <c r="D2056" s="41"/>
    </row>
    <row r="2057" spans="1:5">
      <c r="A2057" s="421" t="s">
        <v>3</v>
      </c>
      <c r="B2057" s="41" t="e">
        <f>VLOOKUP($B2055,'BANG LUONG 1'!$B$5:$AJ$47,C2057,0)</f>
        <v>#N/A</v>
      </c>
      <c r="C2057" s="421">
        <v>3</v>
      </c>
      <c r="D2057" s="41"/>
    </row>
    <row r="2058" spans="1:5">
      <c r="A2058" s="421" t="s">
        <v>376</v>
      </c>
      <c r="B2058" s="410" t="e">
        <f>VLOOKUP($B2055,'BANG LUONG 1'!$B$4:$AJ$55,4,0)</f>
        <v>#N/A</v>
      </c>
      <c r="C2058" s="421">
        <v>4</v>
      </c>
      <c r="D2058" s="41"/>
    </row>
    <row r="2059" spans="1:5">
      <c r="A2059" s="421" t="s">
        <v>698</v>
      </c>
      <c r="B2059" s="411" t="e">
        <f>VLOOKUP(B2055,'BANG LUONG 1'!$B$4:$AJ$55,6,0)</f>
        <v>#N/A</v>
      </c>
      <c r="C2059" s="421">
        <v>5</v>
      </c>
      <c r="D2059" s="41"/>
    </row>
    <row r="2060" spans="1:5">
      <c r="A2060" s="421" t="s">
        <v>229</v>
      </c>
      <c r="B2060" s="412">
        <f>'thang luong moi'!$F$5</f>
        <v>4012500</v>
      </c>
      <c r="C2060" s="421">
        <v>6</v>
      </c>
      <c r="D2060" s="41"/>
    </row>
    <row r="2061" spans="1:5">
      <c r="A2061" s="421" t="s">
        <v>217</v>
      </c>
      <c r="B2061" s="412" t="e">
        <f>VLOOKUP(B2055,'BANG LUONG 1'!$B$4:$AJ$55,8,0)</f>
        <v>#N/A</v>
      </c>
      <c r="C2061" s="421">
        <v>7</v>
      </c>
      <c r="D2061" s="41"/>
    </row>
    <row r="2062" spans="1:5">
      <c r="A2062" s="421" t="s">
        <v>230</v>
      </c>
      <c r="B2062" s="412" t="e">
        <f>VLOOKUP(B2055,'BANG LUONG 1'!$B$4:$AJ$55,9,0)</f>
        <v>#N/A</v>
      </c>
      <c r="C2062" s="421">
        <v>8</v>
      </c>
      <c r="D2062" s="41"/>
    </row>
    <row r="2063" spans="1:5">
      <c r="A2063" s="421" t="s">
        <v>538</v>
      </c>
      <c r="B2063" s="412" t="e">
        <f>VLOOKUP(B2055,'BANG LUONG 1'!$B$4:$AJ$55,11,0)</f>
        <v>#N/A</v>
      </c>
      <c r="C2063" s="421">
        <v>9</v>
      </c>
      <c r="D2063" s="41"/>
    </row>
    <row r="2064" spans="1:5">
      <c r="A2064" s="421" t="s">
        <v>354</v>
      </c>
      <c r="B2064" s="412" t="e">
        <f>VLOOKUP(B2055,'BANG LUONG 1'!$B$4:$AJ$55,12,0)</f>
        <v>#N/A</v>
      </c>
      <c r="C2064" s="421">
        <v>10</v>
      </c>
      <c r="D2064" s="41"/>
    </row>
    <row r="2065" spans="1:5">
      <c r="A2065" s="421" t="s">
        <v>534</v>
      </c>
      <c r="B2065" s="412" t="e">
        <f>VLOOKUP(B2055,'BANG LUONG 1'!$B$4:$AJ$55,13,0)</f>
        <v>#N/A</v>
      </c>
      <c r="C2065" s="421">
        <v>11</v>
      </c>
      <c r="D2065" s="41"/>
    </row>
    <row r="2066" spans="1:5">
      <c r="A2066" s="421" t="s">
        <v>592</v>
      </c>
      <c r="B2066" s="412" t="e">
        <f>VLOOKUP(B2055,'BANG LUONG 1'!$B$4:$AJ$55,14,0)</f>
        <v>#N/A</v>
      </c>
      <c r="C2066" s="421">
        <v>12</v>
      </c>
      <c r="D2066" s="41" t="e">
        <f>B2063/26*B2066</f>
        <v>#N/A</v>
      </c>
    </row>
    <row r="2067" spans="1:5">
      <c r="A2067" s="421" t="s">
        <v>357</v>
      </c>
      <c r="B2067" s="412" t="e">
        <f>VLOOKUP(B2055,'BANG LUONG 1'!$B$4:$AJ$55,15,0)</f>
        <v>#N/A</v>
      </c>
      <c r="C2067" s="421">
        <v>13</v>
      </c>
      <c r="D2067" s="41" t="e">
        <f>B2063/26/8*1.5*B2067</f>
        <v>#N/A</v>
      </c>
    </row>
    <row r="2068" spans="1:5">
      <c r="A2068" s="421" t="s">
        <v>387</v>
      </c>
      <c r="B2068" s="412" t="e">
        <f>VLOOKUP(B2055,'BANG LUONG 1'!$B$4:$AJ$55,16,0)</f>
        <v>#N/A</v>
      </c>
      <c r="C2068" s="421">
        <v>14</v>
      </c>
      <c r="D2068" s="41" t="e">
        <f>B2063/26/8*2*B2068</f>
        <v>#N/A</v>
      </c>
    </row>
    <row r="2069" spans="1:5">
      <c r="A2069" s="421" t="s">
        <v>593</v>
      </c>
      <c r="B2069" s="412" t="e">
        <f>VLOOKUP(B2055,'BANG LUONG 1'!$B$4:$AJ$55,17,0)</f>
        <v>#N/A</v>
      </c>
      <c r="C2069" s="421"/>
      <c r="D2069" s="41" t="e">
        <f>(B2063/26)*B2069</f>
        <v>#N/A</v>
      </c>
    </row>
    <row r="2070" spans="1:5">
      <c r="A2070" s="421" t="s">
        <v>388</v>
      </c>
      <c r="B2070" s="412" t="e">
        <f>VLOOKUP(B2055,'BANG LUONG 1'!$B$4:$AJ$55,18,0)</f>
        <v>#N/A</v>
      </c>
      <c r="C2070" s="421">
        <v>15</v>
      </c>
      <c r="D2070" s="41" t="e">
        <f>(B2063/26*B2070)*3</f>
        <v>#N/A</v>
      </c>
    </row>
    <row r="2071" spans="1:5">
      <c r="A2071" s="421" t="s">
        <v>533</v>
      </c>
      <c r="B2071" s="412" t="e">
        <f>VLOOKUP(B2055,'BANG LUONG 1'!$B$4:$AJ$55,19,0)</f>
        <v>#N/A</v>
      </c>
      <c r="C2071" s="183">
        <v>16</v>
      </c>
      <c r="D2071" s="185" t="e">
        <f>B2065+D2067+D2068+D2066+D2070+D2069</f>
        <v>#N/A</v>
      </c>
      <c r="E2071" s="108"/>
    </row>
    <row r="2072" spans="1:5">
      <c r="A2072" s="421" t="s">
        <v>535</v>
      </c>
      <c r="B2072" s="412" t="e">
        <f>VLOOKUP(B2055,'BANG LUONG 1'!$B$4:$AJ$55,20,0)</f>
        <v>#N/A</v>
      </c>
      <c r="C2072" s="421">
        <v>17</v>
      </c>
      <c r="D2072" s="41"/>
    </row>
    <row r="2073" spans="1:5">
      <c r="A2073" s="421" t="s">
        <v>370</v>
      </c>
      <c r="B2073" s="412" t="e">
        <f>VLOOKUP(B2055,'BANG LUONG 1'!$B$4:$AJ$55,22,0)</f>
        <v>#N/A</v>
      </c>
      <c r="C2073" s="421">
        <v>18</v>
      </c>
      <c r="D2073" s="41"/>
    </row>
    <row r="2074" spans="1:5">
      <c r="A2074" s="421" t="s">
        <v>371</v>
      </c>
      <c r="B2074" s="412" t="e">
        <f>VLOOKUP(B2055,'BANG LUONG 1'!$B$4:$AJ$55,23,0)</f>
        <v>#N/A</v>
      </c>
      <c r="C2074" s="421">
        <v>19</v>
      </c>
      <c r="D2074" s="41"/>
    </row>
    <row r="2075" spans="1:5">
      <c r="A2075" s="421" t="s">
        <v>560</v>
      </c>
      <c r="B2075" s="412" t="e">
        <f>VLOOKUP(B2055,'BANG LUONG 1'!$B$4:$AJ$55,24,0)</f>
        <v>#N/A</v>
      </c>
      <c r="C2075" s="421">
        <v>22</v>
      </c>
      <c r="D2075" s="41"/>
    </row>
    <row r="2076" spans="1:5">
      <c r="A2076" s="183" t="s">
        <v>237</v>
      </c>
      <c r="B2076" s="415" t="e">
        <f>VLOOKUP(B2055,'BANG LUONG 1'!$B$4:$AJ$55,26,0)</f>
        <v>#N/A</v>
      </c>
      <c r="C2076" s="421">
        <v>24</v>
      </c>
      <c r="D2076" s="41"/>
    </row>
    <row r="2077" spans="1:5">
      <c r="A2077" s="421" t="s">
        <v>545</v>
      </c>
      <c r="B2077" s="412" t="e">
        <f>VLOOKUP(B2055,'BANG LUONG 1'!$B$4:$AJ$55,27,0)</f>
        <v>#N/A</v>
      </c>
      <c r="C2077" s="421">
        <v>25</v>
      </c>
      <c r="D2077" s="41"/>
    </row>
    <row r="2078" spans="1:5">
      <c r="A2078" s="421" t="s">
        <v>544</v>
      </c>
      <c r="B2078" s="412" t="e">
        <f>VLOOKUP(B2055,'BANG LUONG 1'!$B$4:$AJ$55,28,0)</f>
        <v>#N/A</v>
      </c>
      <c r="C2078" s="421">
        <v>26</v>
      </c>
      <c r="D2078" s="41"/>
    </row>
    <row r="2079" spans="1:5">
      <c r="A2079" s="421" t="s">
        <v>713</v>
      </c>
      <c r="B2079" s="415" t="e">
        <f>VLOOKUP(B2055,'BANG LUONG 1'!$B$4:$AJ$55,32,0)</f>
        <v>#N/A</v>
      </c>
      <c r="C2079" s="421"/>
      <c r="D2079" s="41"/>
    </row>
    <row r="2080" spans="1:5">
      <c r="A2080" s="421" t="s">
        <v>714</v>
      </c>
      <c r="B2080" s="415" t="e">
        <f>VLOOKUP(B2055,'BANG LUONG 1'!$B$4:$AJ$55,33,0)</f>
        <v>#N/A</v>
      </c>
      <c r="C2080" s="421"/>
      <c r="D2080" s="41"/>
    </row>
    <row r="2081" spans="1:5">
      <c r="A2081" s="183" t="s">
        <v>707</v>
      </c>
      <c r="B2081" s="415" t="e">
        <f>VLOOKUP(B2055,'BANG LUONG 1'!$B$4:$AJ$55,34,0)</f>
        <v>#N/A</v>
      </c>
      <c r="C2081" s="421"/>
      <c r="D2081" s="41"/>
      <c r="E2081" s="108" t="e">
        <f>B2056</f>
        <v>#N/A</v>
      </c>
    </row>
    <row r="2082" spans="1:5">
      <c r="A2082" s="183" t="s">
        <v>546</v>
      </c>
      <c r="B2082" s="415" t="e">
        <f>VLOOKUP(B2055,'BANG LUONG 1'!$B$4:$AJ$55,35,0)</f>
        <v>#N/A</v>
      </c>
      <c r="C2082" s="421"/>
      <c r="D2082" s="41"/>
    </row>
    <row r="2083" spans="1:5">
      <c r="A2083" s="184" t="s">
        <v>549</v>
      </c>
      <c r="B2083" s="424">
        <f>'BANG LUONG 1'!$P$2</f>
        <v>43702</v>
      </c>
    </row>
    <row r="2084" spans="1:5">
      <c r="A2084" s="183" t="s">
        <v>1</v>
      </c>
      <c r="B2084" s="185" t="s">
        <v>158</v>
      </c>
      <c r="C2084" s="421">
        <v>1</v>
      </c>
      <c r="D2084" s="41"/>
    </row>
    <row r="2085" spans="1:5">
      <c r="A2085" s="183" t="s">
        <v>2</v>
      </c>
      <c r="B2085" s="185" t="str">
        <f>VLOOKUP($B2084,'BANG LUONG 1'!$B$5:$AB$47,C2085,0)</f>
        <v>Bùi Văn Ây</v>
      </c>
      <c r="C2085" s="421">
        <v>2</v>
      </c>
      <c r="D2085" s="41"/>
    </row>
    <row r="2086" spans="1:5">
      <c r="A2086" s="421" t="s">
        <v>3</v>
      </c>
      <c r="B2086" s="41" t="str">
        <f>VLOOKUP($B2084,'BANG LUONG 1'!$B$5:$AJ$47,C2086,0)</f>
        <v xml:space="preserve">Công nhân </v>
      </c>
      <c r="C2086" s="421">
        <v>3</v>
      </c>
      <c r="D2086" s="41"/>
    </row>
    <row r="2087" spans="1:5">
      <c r="A2087" s="421" t="s">
        <v>376</v>
      </c>
      <c r="B2087" s="410">
        <f>VLOOKUP($B2084,'BANG LUONG 1'!$B$4:$AJ$55,4,0)</f>
        <v>43458</v>
      </c>
      <c r="C2087" s="421">
        <v>4</v>
      </c>
      <c r="D2087" s="41"/>
    </row>
    <row r="2088" spans="1:5">
      <c r="A2088" s="421" t="s">
        <v>698</v>
      </c>
      <c r="B2088" s="411">
        <f>VLOOKUP(B2084,'BANG LUONG 1'!$B$4:$AJ$55,6,0)</f>
        <v>0</v>
      </c>
      <c r="C2088" s="421">
        <v>5</v>
      </c>
      <c r="D2088" s="41"/>
    </row>
    <row r="2089" spans="1:5">
      <c r="A2089" s="421" t="s">
        <v>229</v>
      </c>
      <c r="B2089" s="412">
        <f>'thang luong moi'!$F$5</f>
        <v>4012500</v>
      </c>
      <c r="C2089" s="421">
        <v>6</v>
      </c>
      <c r="D2089" s="41"/>
    </row>
    <row r="2090" spans="1:5">
      <c r="A2090" s="421" t="s">
        <v>217</v>
      </c>
      <c r="B2090" s="412" t="str">
        <f>VLOOKUP(B2084,'BANG LUONG 1'!$B$4:$AJ$55,8,0)</f>
        <v>B.05</v>
      </c>
      <c r="C2090" s="421">
        <v>7</v>
      </c>
      <c r="D2090" s="41"/>
    </row>
    <row r="2091" spans="1:5">
      <c r="A2091" s="421" t="s">
        <v>230</v>
      </c>
      <c r="B2091" s="412">
        <f>VLOOKUP(B2084,'BANG LUONG 1'!$B$4:$AJ$55,9,0)</f>
        <v>1</v>
      </c>
      <c r="C2091" s="421">
        <v>8</v>
      </c>
      <c r="D2091" s="41"/>
    </row>
    <row r="2092" spans="1:5">
      <c r="A2092" s="421" t="s">
        <v>538</v>
      </c>
      <c r="B2092" s="412">
        <f>VLOOKUP(B2084,'BANG LUONG 1'!$B$4:$AJ$55,11,0)</f>
        <v>4213125</v>
      </c>
      <c r="C2092" s="421">
        <v>9</v>
      </c>
      <c r="D2092" s="41"/>
    </row>
    <row r="2093" spans="1:5">
      <c r="A2093" s="421" t="s">
        <v>354</v>
      </c>
      <c r="B2093" s="412">
        <f>VLOOKUP(B2084,'BANG LUONG 1'!$B$4:$AJ$55,12,0)</f>
        <v>27</v>
      </c>
      <c r="C2093" s="421">
        <v>10</v>
      </c>
      <c r="D2093" s="41"/>
    </row>
    <row r="2094" spans="1:5">
      <c r="A2094" s="421" t="s">
        <v>534</v>
      </c>
      <c r="B2094" s="412">
        <f>VLOOKUP(B2084,'BANG LUONG 1'!$B$4:$AJ$55,13,0)</f>
        <v>4375168.269230769</v>
      </c>
      <c r="C2094" s="421">
        <v>11</v>
      </c>
      <c r="D2094" s="41"/>
    </row>
    <row r="2095" spans="1:5">
      <c r="A2095" s="421" t="s">
        <v>592</v>
      </c>
      <c r="B2095" s="412">
        <f>VLOOKUP(B2084,'BANG LUONG 1'!$B$4:$AJ$55,14,0)</f>
        <v>0</v>
      </c>
      <c r="C2095" s="421">
        <v>12</v>
      </c>
      <c r="D2095" s="41">
        <f>B2092/26*B2095</f>
        <v>0</v>
      </c>
    </row>
    <row r="2096" spans="1:5">
      <c r="A2096" s="421" t="s">
        <v>357</v>
      </c>
      <c r="B2096" s="412">
        <f>VLOOKUP(B2084,'BANG LUONG 1'!$B$4:$AJ$55,15,0)</f>
        <v>0</v>
      </c>
      <c r="C2096" s="421">
        <v>13</v>
      </c>
      <c r="D2096" s="41">
        <f>B2092/26/8*1.5*B2096</f>
        <v>0</v>
      </c>
    </row>
    <row r="2097" spans="1:5">
      <c r="A2097" s="421" t="s">
        <v>387</v>
      </c>
      <c r="B2097" s="412">
        <f>VLOOKUP(B2084,'BANG LUONG 1'!$B$4:$AJ$55,16,0)</f>
        <v>0</v>
      </c>
      <c r="C2097" s="421">
        <v>14</v>
      </c>
      <c r="D2097" s="41">
        <f>B2092/26/8*2*B2097</f>
        <v>0</v>
      </c>
    </row>
    <row r="2098" spans="1:5">
      <c r="A2098" s="421" t="s">
        <v>593</v>
      </c>
      <c r="B2098" s="412">
        <f>VLOOKUP(B2084,'BANG LUONG 1'!$B$4:$AJ$55,17,0)</f>
        <v>0</v>
      </c>
      <c r="C2098" s="421"/>
      <c r="D2098" s="41">
        <f>(B2092/26)*B2098</f>
        <v>0</v>
      </c>
    </row>
    <row r="2099" spans="1:5">
      <c r="A2099" s="421" t="s">
        <v>388</v>
      </c>
      <c r="B2099" s="412">
        <f>VLOOKUP(B2084,'BANG LUONG 1'!$B$4:$AJ$55,18,0)</f>
        <v>0</v>
      </c>
      <c r="C2099" s="421">
        <v>15</v>
      </c>
      <c r="D2099" s="41">
        <f>(B2092/26*B2099)*3</f>
        <v>0</v>
      </c>
    </row>
    <row r="2100" spans="1:5">
      <c r="A2100" s="421" t="s">
        <v>533</v>
      </c>
      <c r="B2100" s="412">
        <f>VLOOKUP(B2084,'BANG LUONG 1'!$B$4:$AJ$55,19,0)</f>
        <v>4375168.269230769</v>
      </c>
      <c r="C2100" s="183">
        <v>16</v>
      </c>
      <c r="D2100" s="185">
        <f>B2094+D2096+D2097+D2095+D2099+D2098</f>
        <v>4375168.269230769</v>
      </c>
      <c r="E2100" s="108"/>
    </row>
    <row r="2101" spans="1:5">
      <c r="A2101" s="421" t="s">
        <v>535</v>
      </c>
      <c r="B2101" s="412">
        <f>VLOOKUP(B2084,'BANG LUONG 1'!$B$4:$AJ$55,20,0)</f>
        <v>-4375168.269230769</v>
      </c>
      <c r="C2101" s="421">
        <v>17</v>
      </c>
      <c r="D2101" s="41"/>
    </row>
    <row r="2102" spans="1:5">
      <c r="A2102" s="421" t="s">
        <v>370</v>
      </c>
      <c r="B2102" s="412">
        <f>VLOOKUP(B2084,'BANG LUONG 1'!$B$4:$AJ$55,22,0)</f>
        <v>0</v>
      </c>
      <c r="C2102" s="421">
        <v>18</v>
      </c>
      <c r="D2102" s="41"/>
    </row>
    <row r="2103" spans="1:5">
      <c r="A2103" s="421" t="s">
        <v>371</v>
      </c>
      <c r="B2103" s="412">
        <f>VLOOKUP(B2084,'BANG LUONG 1'!$B$4:$AJ$55,23,0)</f>
        <v>300000</v>
      </c>
      <c r="C2103" s="421">
        <v>19</v>
      </c>
      <c r="D2103" s="41"/>
    </row>
    <row r="2104" spans="1:5">
      <c r="A2104" s="421" t="s">
        <v>560</v>
      </c>
      <c r="B2104" s="412">
        <f>VLOOKUP(B2084,'BANG LUONG 1'!$B$4:$AJ$55,24,0)</f>
        <v>0</v>
      </c>
      <c r="C2104" s="421">
        <v>22</v>
      </c>
      <c r="D2104" s="41"/>
    </row>
    <row r="2105" spans="1:5">
      <c r="A2105" s="183" t="s">
        <v>237</v>
      </c>
      <c r="B2105" s="415">
        <f>VLOOKUP(B2084,'BANG LUONG 1'!$B$4:$AJ$55,26,0)</f>
        <v>300000</v>
      </c>
      <c r="C2105" s="421">
        <v>24</v>
      </c>
      <c r="D2105" s="41"/>
    </row>
    <row r="2106" spans="1:5">
      <c r="A2106" s="421" t="s">
        <v>545</v>
      </c>
      <c r="B2106" s="412">
        <f>VLOOKUP(B2084,'BANG LUONG 1'!$B$4:$AJ$55,27,0)</f>
        <v>4000000</v>
      </c>
      <c r="C2106" s="421">
        <v>25</v>
      </c>
      <c r="D2106" s="41"/>
    </row>
    <row r="2107" spans="1:5">
      <c r="A2107" s="421" t="s">
        <v>544</v>
      </c>
      <c r="B2107" s="412">
        <f>VLOOKUP(B2084,'BANG LUONG 1'!$B$4:$AJ$55,28,0)</f>
        <v>0</v>
      </c>
      <c r="C2107" s="421">
        <v>26</v>
      </c>
      <c r="D2107" s="41"/>
    </row>
    <row r="2108" spans="1:5">
      <c r="A2108" s="421" t="s">
        <v>713</v>
      </c>
      <c r="B2108" s="415">
        <f>VLOOKUP(B2084,'BANG LUONG 1'!$B$4:$AJ$55,32,0)</f>
        <v>0</v>
      </c>
      <c r="C2108" s="421"/>
      <c r="D2108" s="41"/>
    </row>
    <row r="2109" spans="1:5">
      <c r="A2109" s="421" t="s">
        <v>714</v>
      </c>
      <c r="B2109" s="415">
        <f>VLOOKUP(B2084,'BANG LUONG 1'!$B$4:$AJ$55,33,0)</f>
        <v>0</v>
      </c>
      <c r="C2109" s="421"/>
      <c r="D2109" s="41"/>
    </row>
    <row r="2110" spans="1:5">
      <c r="A2110" s="183" t="s">
        <v>707</v>
      </c>
      <c r="B2110" s="415">
        <f>VLOOKUP(B2084,'BANG LUONG 1'!$B$4:$AJ$55,34,0)</f>
        <v>0</v>
      </c>
      <c r="C2110" s="421"/>
      <c r="D2110" s="41"/>
      <c r="E2110" s="108" t="str">
        <f>B2085</f>
        <v>Bùi Văn Ây</v>
      </c>
    </row>
    <row r="2111" spans="1:5">
      <c r="A2111" s="183" t="s">
        <v>546</v>
      </c>
      <c r="B2111" s="415">
        <f>VLOOKUP(B2084,'BANG LUONG 1'!$B$4:$AJ$55,35,0)</f>
        <v>-3700000</v>
      </c>
      <c r="C2111" s="421"/>
      <c r="D2111" s="41"/>
    </row>
    <row r="2112" spans="1:5">
      <c r="A2112" s="184" t="s">
        <v>549</v>
      </c>
      <c r="B2112" s="424">
        <f>'BANG LUONG 1'!$P$2</f>
        <v>43702</v>
      </c>
    </row>
    <row r="2113" spans="1:4">
      <c r="A2113" s="183" t="s">
        <v>1</v>
      </c>
      <c r="B2113" s="185" t="s">
        <v>159</v>
      </c>
      <c r="C2113" s="421">
        <v>1</v>
      </c>
      <c r="D2113" s="41"/>
    </row>
    <row r="2114" spans="1:4">
      <c r="A2114" s="183" t="s">
        <v>2</v>
      </c>
      <c r="B2114" s="185" t="str">
        <f>VLOOKUP($B2113,'BANG LUONG 1'!$B$5:$AB$50,C2114,0)</f>
        <v>Ngô Đình Chung</v>
      </c>
      <c r="C2114" s="421">
        <v>2</v>
      </c>
      <c r="D2114" s="41"/>
    </row>
    <row r="2115" spans="1:4">
      <c r="A2115" s="421" t="s">
        <v>3</v>
      </c>
      <c r="B2115" s="41" t="str">
        <f>VLOOKUP($B2113,'BANG LUONG 1'!$B$5:$AJ$50,C2115,0)</f>
        <v>GS Vườn rau</v>
      </c>
      <c r="C2115" s="421">
        <v>3</v>
      </c>
      <c r="D2115" s="41"/>
    </row>
    <row r="2116" spans="1:4">
      <c r="A2116" s="421" t="s">
        <v>376</v>
      </c>
      <c r="B2116" s="410">
        <f>VLOOKUP($B2113,'BANG LUONG 1'!$B$4:$AJ$55,4,0)</f>
        <v>42086</v>
      </c>
      <c r="C2116" s="421">
        <v>4</v>
      </c>
      <c r="D2116" s="41"/>
    </row>
    <row r="2117" spans="1:4">
      <c r="A2117" s="421" t="s">
        <v>698</v>
      </c>
      <c r="B2117" s="411">
        <f>VLOOKUP(B2113,'BANG LUONG 1'!$B$4:$AJ$55,6,0)</f>
        <v>0.04</v>
      </c>
      <c r="C2117" s="421">
        <v>5</v>
      </c>
      <c r="D2117" s="41"/>
    </row>
    <row r="2118" spans="1:4">
      <c r="A2118" s="421" t="s">
        <v>229</v>
      </c>
      <c r="B2118" s="412">
        <f>'thang luong moi'!$F$5</f>
        <v>4012500</v>
      </c>
      <c r="C2118" s="421">
        <v>6</v>
      </c>
      <c r="D2118" s="41"/>
    </row>
    <row r="2119" spans="1:4">
      <c r="A2119" s="421" t="s">
        <v>217</v>
      </c>
      <c r="B2119" s="412" t="str">
        <f>VLOOKUP(B2113,'BANG LUONG 1'!$B$4:$AJ$55,8,0)</f>
        <v>B.01</v>
      </c>
      <c r="C2119" s="421">
        <v>7</v>
      </c>
      <c r="D2119" s="41"/>
    </row>
    <row r="2120" spans="1:4">
      <c r="A2120" s="421" t="s">
        <v>230</v>
      </c>
      <c r="B2120" s="412">
        <f>VLOOKUP(B2113,'BANG LUONG 1'!$B$4:$AJ$55,9,0)</f>
        <v>1</v>
      </c>
      <c r="C2120" s="421">
        <v>8</v>
      </c>
      <c r="D2120" s="41"/>
    </row>
    <row r="2121" spans="1:4">
      <c r="A2121" s="421" t="s">
        <v>538</v>
      </c>
      <c r="B2121" s="412">
        <f>VLOOKUP(B2113,'BANG LUONG 1'!$B$4:$AJ$55,11,0)</f>
        <v>4381650</v>
      </c>
      <c r="C2121" s="421">
        <v>9</v>
      </c>
      <c r="D2121" s="41"/>
    </row>
    <row r="2122" spans="1:4">
      <c r="A2122" s="421" t="s">
        <v>354</v>
      </c>
      <c r="B2122" s="412">
        <f>VLOOKUP(B2113,'BANG LUONG 1'!$B$4:$AJ$55,12,0)</f>
        <v>27</v>
      </c>
      <c r="C2122" s="421">
        <v>10</v>
      </c>
      <c r="D2122" s="41"/>
    </row>
    <row r="2123" spans="1:4">
      <c r="A2123" s="421" t="s">
        <v>534</v>
      </c>
      <c r="B2123" s="412">
        <f>VLOOKUP(B2113,'BANG LUONG 1'!$B$4:$AJ$55,13,0)</f>
        <v>4550175</v>
      </c>
      <c r="C2123" s="421">
        <v>11</v>
      </c>
      <c r="D2123" s="41"/>
    </row>
    <row r="2124" spans="1:4">
      <c r="A2124" s="421" t="s">
        <v>592</v>
      </c>
      <c r="B2124" s="412">
        <f>VLOOKUP(B2113,'BANG LUONG 1'!$B$4:$AJ$55,14,0)</f>
        <v>0</v>
      </c>
      <c r="C2124" s="421">
        <v>12</v>
      </c>
      <c r="D2124" s="41">
        <f>B2121/26*B2124</f>
        <v>0</v>
      </c>
    </row>
    <row r="2125" spans="1:4">
      <c r="A2125" s="421" t="s">
        <v>357</v>
      </c>
      <c r="B2125" s="412">
        <f>VLOOKUP(B2113,'BANG LUONG 1'!$B$4:$AJ$55,15,0)</f>
        <v>0</v>
      </c>
      <c r="C2125" s="421">
        <v>13</v>
      </c>
      <c r="D2125" s="41">
        <f>B2121/26/8*1.5*B2125</f>
        <v>0</v>
      </c>
    </row>
    <row r="2126" spans="1:4">
      <c r="A2126" s="421" t="s">
        <v>387</v>
      </c>
      <c r="B2126" s="412">
        <f>VLOOKUP(B2113,'BANG LUONG 1'!$B$4:$AJ$55,16,0)</f>
        <v>0</v>
      </c>
      <c r="C2126" s="421">
        <v>14</v>
      </c>
      <c r="D2126" s="41">
        <f>B2121/26/8*2*B2126</f>
        <v>0</v>
      </c>
    </row>
    <row r="2127" spans="1:4">
      <c r="A2127" s="421" t="s">
        <v>593</v>
      </c>
      <c r="B2127" s="412">
        <f>VLOOKUP(B2113,'BANG LUONG 1'!$B$4:$AJ$55,17,0)</f>
        <v>0</v>
      </c>
      <c r="C2127" s="421"/>
      <c r="D2127" s="41">
        <f>(B2121/26)*B2127</f>
        <v>0</v>
      </c>
    </row>
    <row r="2128" spans="1:4">
      <c r="A2128" s="421" t="s">
        <v>388</v>
      </c>
      <c r="B2128" s="412">
        <f>VLOOKUP(B2113,'BANG LUONG 1'!$B$4:$AJ$55,18,0)</f>
        <v>0</v>
      </c>
      <c r="C2128" s="421">
        <v>15</v>
      </c>
      <c r="D2128" s="41">
        <f>(B2121/26*B2128)*3</f>
        <v>0</v>
      </c>
    </row>
    <row r="2129" spans="1:5">
      <c r="A2129" s="421" t="s">
        <v>533</v>
      </c>
      <c r="B2129" s="412">
        <f>VLOOKUP(B2113,'BANG LUONG 1'!$B$4:$AJ$55,19,0)</f>
        <v>5380944.230769231</v>
      </c>
      <c r="C2129" s="183">
        <v>16</v>
      </c>
      <c r="D2129" s="185">
        <f>B2123+D2125+D2126+D2124+D2128+D2127</f>
        <v>4550175</v>
      </c>
      <c r="E2129" s="108"/>
    </row>
    <row r="2130" spans="1:5">
      <c r="A2130" s="421" t="s">
        <v>535</v>
      </c>
      <c r="B2130" s="412">
        <f>VLOOKUP(B2113,'BANG LUONG 1'!$B$4:$AJ$55,20,0)</f>
        <v>0</v>
      </c>
      <c r="C2130" s="421">
        <v>17</v>
      </c>
      <c r="D2130" s="41"/>
    </row>
    <row r="2131" spans="1:5">
      <c r="A2131" s="421" t="s">
        <v>370</v>
      </c>
      <c r="B2131" s="412">
        <f>VLOOKUP(B2113,'BANG LUONG 1'!$B$4:$AJ$55,22,0)</f>
        <v>175266</v>
      </c>
      <c r="C2131" s="421">
        <v>18</v>
      </c>
      <c r="D2131" s="41"/>
    </row>
    <row r="2132" spans="1:5">
      <c r="A2132" s="421" t="s">
        <v>371</v>
      </c>
      <c r="B2132" s="412">
        <f>VLOOKUP(B2113,'BANG LUONG 1'!$B$4:$AJ$55,23,0)</f>
        <v>300000</v>
      </c>
      <c r="C2132" s="421">
        <v>19</v>
      </c>
      <c r="D2132" s="41"/>
    </row>
    <row r="2133" spans="1:5">
      <c r="A2133" s="421" t="s">
        <v>560</v>
      </c>
      <c r="B2133" s="412">
        <f>VLOOKUP(B2113,'BANG LUONG 1'!$B$4:$AJ$55,24,0)</f>
        <v>800000</v>
      </c>
      <c r="C2133" s="421">
        <v>22</v>
      </c>
      <c r="D2133" s="41"/>
    </row>
    <row r="2134" spans="1:5">
      <c r="A2134" s="183" t="s">
        <v>237</v>
      </c>
      <c r="B2134" s="415">
        <f>VLOOKUP(B2113,'BANG LUONG 1'!$B$4:$AJ$55,26,0)</f>
        <v>5856210.230769231</v>
      </c>
      <c r="C2134" s="421">
        <v>24</v>
      </c>
      <c r="D2134" s="41"/>
    </row>
    <row r="2135" spans="1:5">
      <c r="A2135" s="421" t="s">
        <v>545</v>
      </c>
      <c r="B2135" s="412">
        <f>VLOOKUP(B2113,'BANG LUONG 1'!$B$4:$AJ$55,27,0)</f>
        <v>2000000</v>
      </c>
      <c r="C2135" s="421">
        <v>25</v>
      </c>
      <c r="D2135" s="41"/>
    </row>
    <row r="2136" spans="1:5">
      <c r="A2136" s="421" t="s">
        <v>544</v>
      </c>
      <c r="B2136" s="412">
        <f>VLOOKUP(B2113,'BANG LUONG 1'!$B$4:$AJ$55,28,0)</f>
        <v>0</v>
      </c>
      <c r="C2136" s="421">
        <v>26</v>
      </c>
      <c r="D2136" s="41"/>
    </row>
    <row r="2137" spans="1:5">
      <c r="A2137" s="421" t="s">
        <v>713</v>
      </c>
      <c r="B2137" s="415">
        <f>VLOOKUP(B2113,'BANG LUONG 1'!$B$4:$AJ$55,32,0)</f>
        <v>0</v>
      </c>
      <c r="C2137" s="421"/>
      <c r="D2137" s="41"/>
    </row>
    <row r="2138" spans="1:5">
      <c r="A2138" s="421" t="s">
        <v>714</v>
      </c>
      <c r="B2138" s="415">
        <f>VLOOKUP(B2113,'BANG LUONG 1'!$B$4:$AJ$55,33,0)</f>
        <v>0</v>
      </c>
      <c r="C2138" s="421"/>
      <c r="D2138" s="41"/>
    </row>
    <row r="2139" spans="1:5">
      <c r="A2139" s="183" t="s">
        <v>707</v>
      </c>
      <c r="B2139" s="415">
        <f>VLOOKUP(B2113,'BANG LUONG 1'!$B$4:$AJ$55,34,0)</f>
        <v>0</v>
      </c>
      <c r="C2139" s="421"/>
      <c r="D2139" s="41"/>
      <c r="E2139" s="108" t="str">
        <f>B2114</f>
        <v>Ngô Đình Chung</v>
      </c>
    </row>
    <row r="2140" spans="1:5">
      <c r="A2140" s="183" t="s">
        <v>546</v>
      </c>
      <c r="B2140" s="415">
        <f>VLOOKUP(B2113,'BANG LUONG 1'!$B$4:$AJ$55,35,0)</f>
        <v>3856000</v>
      </c>
      <c r="C2140" s="421"/>
      <c r="D2140" s="41"/>
    </row>
    <row r="2141" spans="1:5">
      <c r="A2141" s="184" t="s">
        <v>549</v>
      </c>
      <c r="B2141" s="424">
        <f>'BANG LUONG 1'!$P$2</f>
        <v>43702</v>
      </c>
    </row>
    <row r="2142" spans="1:5">
      <c r="A2142" s="183" t="s">
        <v>1</v>
      </c>
      <c r="B2142" s="185" t="s">
        <v>160</v>
      </c>
      <c r="C2142" s="421">
        <v>1</v>
      </c>
      <c r="D2142" s="41"/>
    </row>
    <row r="2143" spans="1:5">
      <c r="A2143" s="183" t="s">
        <v>2</v>
      </c>
      <c r="B2143" s="185" t="str">
        <f>VLOOKUP($B2142,'BANG LUONG 1'!$B$5:$AB$50,C2143,0)</f>
        <v>Triệu Minh Tuấn</v>
      </c>
      <c r="C2143" s="421">
        <v>2</v>
      </c>
      <c r="D2143" s="41"/>
    </row>
    <row r="2144" spans="1:5">
      <c r="A2144" s="421" t="s">
        <v>3</v>
      </c>
      <c r="B2144" s="41" t="str">
        <f>VLOOKUP($B2142,'BANG LUONG 1'!$B$5:$AJ$50,C2144,0)</f>
        <v xml:space="preserve">Công nhân </v>
      </c>
      <c r="C2144" s="421">
        <v>3</v>
      </c>
      <c r="D2144" s="41"/>
    </row>
    <row r="2145" spans="1:5">
      <c r="A2145" s="421" t="s">
        <v>376</v>
      </c>
      <c r="B2145" s="410">
        <f>VLOOKUP($B2142,'BANG LUONG 1'!$B$4:$AJ$55,4,0)</f>
        <v>41706</v>
      </c>
      <c r="C2145" s="421">
        <v>4</v>
      </c>
      <c r="D2145" s="41"/>
    </row>
    <row r="2146" spans="1:5">
      <c r="A2146" s="421" t="s">
        <v>698</v>
      </c>
      <c r="B2146" s="411">
        <f>VLOOKUP(B2142,'BANG LUONG 1'!$B$4:$AJ$55,6,0)</f>
        <v>0.05</v>
      </c>
      <c r="C2146" s="421">
        <v>5</v>
      </c>
      <c r="D2146" s="41"/>
    </row>
    <row r="2147" spans="1:5">
      <c r="A2147" s="421" t="s">
        <v>229</v>
      </c>
      <c r="B2147" s="412">
        <f>'thang luong moi'!$F$5</f>
        <v>4012500</v>
      </c>
      <c r="C2147" s="421">
        <v>6</v>
      </c>
      <c r="D2147" s="41"/>
    </row>
    <row r="2148" spans="1:5">
      <c r="A2148" s="421" t="s">
        <v>217</v>
      </c>
      <c r="B2148" s="412" t="str">
        <f>VLOOKUP(B2142,'BANG LUONG 1'!$B$4:$AJ$55,8,0)</f>
        <v>B.05</v>
      </c>
      <c r="C2148" s="421">
        <v>7</v>
      </c>
      <c r="D2148" s="41"/>
    </row>
    <row r="2149" spans="1:5">
      <c r="A2149" s="421" t="s">
        <v>230</v>
      </c>
      <c r="B2149" s="412">
        <f>VLOOKUP(B2142,'BANG LUONG 1'!$B$4:$AJ$55,9,0)</f>
        <v>1</v>
      </c>
      <c r="C2149" s="421">
        <v>8</v>
      </c>
      <c r="D2149" s="41"/>
    </row>
    <row r="2150" spans="1:5">
      <c r="A2150" s="421" t="s">
        <v>538</v>
      </c>
      <c r="B2150" s="412">
        <f>VLOOKUP(B2142,'BANG LUONG 1'!$B$4:$AJ$55,11,0)</f>
        <v>4213125</v>
      </c>
      <c r="C2150" s="421">
        <v>9</v>
      </c>
      <c r="D2150" s="41"/>
    </row>
    <row r="2151" spans="1:5">
      <c r="A2151" s="421" t="s">
        <v>354</v>
      </c>
      <c r="B2151" s="412">
        <f>VLOOKUP(B2142,'BANG LUONG 1'!$B$4:$AJ$55,12,0)</f>
        <v>27</v>
      </c>
      <c r="C2151" s="421">
        <v>10</v>
      </c>
      <c r="D2151" s="41"/>
    </row>
    <row r="2152" spans="1:5">
      <c r="A2152" s="421" t="s">
        <v>534</v>
      </c>
      <c r="B2152" s="412">
        <f>VLOOKUP(B2142,'BANG LUONG 1'!$B$4:$AJ$55,13,0)</f>
        <v>4375168.269230769</v>
      </c>
      <c r="C2152" s="421">
        <v>11</v>
      </c>
      <c r="D2152" s="41"/>
    </row>
    <row r="2153" spans="1:5">
      <c r="A2153" s="421" t="s">
        <v>592</v>
      </c>
      <c r="B2153" s="412">
        <f>VLOOKUP(B2142,'BANG LUONG 1'!$B$4:$AJ$55,14,0)</f>
        <v>0</v>
      </c>
      <c r="C2153" s="421">
        <v>12</v>
      </c>
      <c r="D2153" s="41">
        <f>B2150/26*B2153</f>
        <v>0</v>
      </c>
    </row>
    <row r="2154" spans="1:5">
      <c r="A2154" s="421" t="s">
        <v>357</v>
      </c>
      <c r="B2154" s="412">
        <f>VLOOKUP(B2142,'BANG LUONG 1'!$B$4:$AJ$55,15,0)</f>
        <v>0</v>
      </c>
      <c r="C2154" s="421">
        <v>13</v>
      </c>
      <c r="D2154" s="41">
        <f>B2150/26/8*1.5*B2154</f>
        <v>0</v>
      </c>
    </row>
    <row r="2155" spans="1:5">
      <c r="A2155" s="421" t="s">
        <v>387</v>
      </c>
      <c r="B2155" s="412">
        <f>VLOOKUP(B2142,'BANG LUONG 1'!$B$4:$AJ$55,16,0)</f>
        <v>0</v>
      </c>
      <c r="C2155" s="421">
        <v>14</v>
      </c>
      <c r="D2155" s="41">
        <f>B2150/26/8*2*B2155</f>
        <v>0</v>
      </c>
    </row>
    <row r="2156" spans="1:5">
      <c r="A2156" s="421" t="s">
        <v>593</v>
      </c>
      <c r="B2156" s="412">
        <f>VLOOKUP(B2142,'BANG LUONG 1'!$B$4:$AJ$55,17,0)</f>
        <v>0</v>
      </c>
      <c r="C2156" s="421"/>
      <c r="D2156" s="41">
        <f>(B2150/26)*B2156</f>
        <v>0</v>
      </c>
    </row>
    <row r="2157" spans="1:5">
      <c r="A2157" s="421" t="s">
        <v>388</v>
      </c>
      <c r="B2157" s="412">
        <f>VLOOKUP(B2142,'BANG LUONG 1'!$B$4:$AJ$55,18,0)</f>
        <v>0</v>
      </c>
      <c r="C2157" s="421">
        <v>15</v>
      </c>
      <c r="D2157" s="41">
        <f>(B2150/26*B2157)*3</f>
        <v>0</v>
      </c>
    </row>
    <row r="2158" spans="1:5">
      <c r="A2158" s="421" t="s">
        <v>533</v>
      </c>
      <c r="B2158" s="412">
        <f>VLOOKUP(B2142,'BANG LUONG 1'!$B$4:$AJ$55,19,0)</f>
        <v>4375168.269230769</v>
      </c>
      <c r="C2158" s="183">
        <v>16</v>
      </c>
      <c r="D2158" s="185">
        <f>B2152+D2154+D2155+D2153+D2157+D2156</f>
        <v>4375168.269230769</v>
      </c>
      <c r="E2158" s="108"/>
    </row>
    <row r="2159" spans="1:5">
      <c r="A2159" s="421" t="s">
        <v>535</v>
      </c>
      <c r="B2159" s="412">
        <f>VLOOKUP(B2142,'BANG LUONG 1'!$B$4:$AJ$55,20,0)</f>
        <v>-4375168.269230769</v>
      </c>
      <c r="C2159" s="421">
        <v>17</v>
      </c>
      <c r="D2159" s="41"/>
    </row>
    <row r="2160" spans="1:5">
      <c r="A2160" s="421" t="s">
        <v>370</v>
      </c>
      <c r="B2160" s="412">
        <f>VLOOKUP(B2142,'BANG LUONG 1'!$B$4:$AJ$55,22,0)</f>
        <v>210656.25</v>
      </c>
      <c r="C2160" s="421">
        <v>18</v>
      </c>
      <c r="D2160" s="41"/>
    </row>
    <row r="2161" spans="1:5">
      <c r="A2161" s="421" t="s">
        <v>371</v>
      </c>
      <c r="B2161" s="412">
        <f>VLOOKUP(B2142,'BANG LUONG 1'!$B$4:$AJ$55,23,0)</f>
        <v>300000</v>
      </c>
      <c r="C2161" s="421">
        <v>19</v>
      </c>
      <c r="D2161" s="41"/>
    </row>
    <row r="2162" spans="1:5">
      <c r="A2162" s="421" t="s">
        <v>560</v>
      </c>
      <c r="B2162" s="412">
        <f>VLOOKUP(B2142,'BANG LUONG 1'!$B$4:$AJ$55,24,0)</f>
        <v>0</v>
      </c>
      <c r="C2162" s="421">
        <v>22</v>
      </c>
      <c r="D2162" s="41"/>
    </row>
    <row r="2163" spans="1:5">
      <c r="A2163" s="183" t="s">
        <v>237</v>
      </c>
      <c r="B2163" s="415">
        <f>VLOOKUP(B2142,'BANG LUONG 1'!$B$4:$AJ$55,26,0)</f>
        <v>510656.25</v>
      </c>
      <c r="C2163" s="421">
        <v>24</v>
      </c>
      <c r="D2163" s="41"/>
    </row>
    <row r="2164" spans="1:5">
      <c r="A2164" s="421" t="s">
        <v>545</v>
      </c>
      <c r="B2164" s="412">
        <f>VLOOKUP(B2142,'BANG LUONG 1'!$B$4:$AJ$55,27,0)</f>
        <v>3000000</v>
      </c>
      <c r="C2164" s="421">
        <v>25</v>
      </c>
      <c r="D2164" s="41"/>
    </row>
    <row r="2165" spans="1:5">
      <c r="A2165" s="421" t="s">
        <v>544</v>
      </c>
      <c r="B2165" s="412">
        <f>VLOOKUP(B2142,'BANG LUONG 1'!$B$4:$AJ$55,28,0)</f>
        <v>480585</v>
      </c>
      <c r="C2165" s="421">
        <v>26</v>
      </c>
      <c r="D2165" s="41"/>
    </row>
    <row r="2166" spans="1:5">
      <c r="A2166" s="421" t="s">
        <v>713</v>
      </c>
      <c r="B2166" s="415">
        <f>VLOOKUP(B2142,'BANG LUONG 1'!$B$4:$AJ$55,32,0)</f>
        <v>0</v>
      </c>
      <c r="C2166" s="421"/>
      <c r="D2166" s="41"/>
    </row>
    <row r="2167" spans="1:5">
      <c r="A2167" s="421" t="s">
        <v>714</v>
      </c>
      <c r="B2167" s="415">
        <f>VLOOKUP(B2142,'BANG LUONG 1'!$B$4:$AJ$55,33,0)</f>
        <v>0</v>
      </c>
      <c r="C2167" s="421"/>
      <c r="D2167" s="41"/>
    </row>
    <row r="2168" spans="1:5">
      <c r="A2168" s="183" t="s">
        <v>707</v>
      </c>
      <c r="B2168" s="415">
        <f>VLOOKUP(B2142,'BANG LUONG 1'!$B$4:$AJ$55,34,0)</f>
        <v>0</v>
      </c>
      <c r="C2168" s="421"/>
      <c r="D2168" s="41"/>
      <c r="E2168" s="108" t="str">
        <f>B2143</f>
        <v>Triệu Minh Tuấn</v>
      </c>
    </row>
    <row r="2169" spans="1:5">
      <c r="A2169" s="183" t="s">
        <v>546</v>
      </c>
      <c r="B2169" s="415">
        <f>VLOOKUP(B2142,'BANG LUONG 1'!$B$4:$AJ$55,35,0)</f>
        <v>-2970000</v>
      </c>
      <c r="C2169" s="421"/>
      <c r="D2169" s="41"/>
    </row>
    <row r="2170" spans="1:5">
      <c r="A2170" s="184" t="s">
        <v>549</v>
      </c>
      <c r="B2170" s="424">
        <f>'BANG LUONG 1'!$P$2</f>
        <v>43702</v>
      </c>
    </row>
    <row r="2171" spans="1:5">
      <c r="A2171" s="183" t="s">
        <v>1</v>
      </c>
      <c r="B2171" s="185" t="s">
        <v>161</v>
      </c>
      <c r="C2171" s="421">
        <v>1</v>
      </c>
      <c r="D2171" s="41"/>
    </row>
    <row r="2172" spans="1:5">
      <c r="A2172" s="183" t="s">
        <v>2</v>
      </c>
      <c r="B2172" s="185" t="str">
        <f>VLOOKUP($B2171,'BANG LUONG 1'!$B$5:$AB$50,C2172,0)</f>
        <v>Kim Em</v>
      </c>
      <c r="C2172" s="421">
        <v>2</v>
      </c>
      <c r="D2172" s="41"/>
    </row>
    <row r="2173" spans="1:5">
      <c r="A2173" s="421" t="s">
        <v>3</v>
      </c>
      <c r="B2173" s="41" t="str">
        <f>VLOOKUP($B2171,'BANG LUONG 1'!$B$5:$AJ$50,C2173,0)</f>
        <v xml:space="preserve">Công nhân </v>
      </c>
      <c r="C2173" s="421">
        <v>3</v>
      </c>
      <c r="D2173" s="41"/>
    </row>
    <row r="2174" spans="1:5">
      <c r="A2174" s="421" t="s">
        <v>376</v>
      </c>
      <c r="B2174" s="410">
        <f>VLOOKUP($B2171,'BANG LUONG 1'!$B$4:$AJ$55,4,0)</f>
        <v>42413</v>
      </c>
      <c r="C2174" s="421">
        <v>4</v>
      </c>
      <c r="D2174" s="41"/>
    </row>
    <row r="2175" spans="1:5">
      <c r="A2175" s="421" t="s">
        <v>698</v>
      </c>
      <c r="B2175" s="411">
        <f>VLOOKUP(B2171,'BANG LUONG 1'!$B$4:$AJ$55,6,0)</f>
        <v>0.03</v>
      </c>
      <c r="C2175" s="421">
        <v>5</v>
      </c>
      <c r="D2175" s="41"/>
    </row>
    <row r="2176" spans="1:5">
      <c r="A2176" s="421" t="s">
        <v>229</v>
      </c>
      <c r="B2176" s="412">
        <f>'thang luong moi'!$F$5</f>
        <v>4012500</v>
      </c>
      <c r="C2176" s="421">
        <v>6</v>
      </c>
      <c r="D2176" s="41"/>
    </row>
    <row r="2177" spans="1:5">
      <c r="A2177" s="421" t="s">
        <v>217</v>
      </c>
      <c r="B2177" s="412" t="str">
        <f>VLOOKUP(B2171,'BANG LUONG 1'!$B$4:$AJ$55,8,0)</f>
        <v>B.05</v>
      </c>
      <c r="C2177" s="421">
        <v>7</v>
      </c>
      <c r="D2177" s="41"/>
    </row>
    <row r="2178" spans="1:5">
      <c r="A2178" s="421" t="s">
        <v>230</v>
      </c>
      <c r="B2178" s="412">
        <f>VLOOKUP(B2171,'BANG LUONG 1'!$B$4:$AJ$55,9,0)</f>
        <v>1</v>
      </c>
      <c r="C2178" s="421">
        <v>8</v>
      </c>
      <c r="D2178" s="41"/>
    </row>
    <row r="2179" spans="1:5">
      <c r="A2179" s="421" t="s">
        <v>538</v>
      </c>
      <c r="B2179" s="412">
        <f>VLOOKUP(B2171,'BANG LUONG 1'!$B$4:$AJ$55,11,0)</f>
        <v>4213125</v>
      </c>
      <c r="C2179" s="421">
        <v>9</v>
      </c>
      <c r="D2179" s="41"/>
    </row>
    <row r="2180" spans="1:5">
      <c r="A2180" s="421" t="s">
        <v>354</v>
      </c>
      <c r="B2180" s="412">
        <f>VLOOKUP(B2171,'BANG LUONG 1'!$B$4:$AJ$55,12,0)</f>
        <v>27</v>
      </c>
      <c r="C2180" s="421">
        <v>10</v>
      </c>
      <c r="D2180" s="41"/>
    </row>
    <row r="2181" spans="1:5">
      <c r="A2181" s="421" t="s">
        <v>534</v>
      </c>
      <c r="B2181" s="412">
        <f>VLOOKUP(B2171,'BANG LUONG 1'!$B$4:$AJ$55,13,0)</f>
        <v>4375168.269230769</v>
      </c>
      <c r="C2181" s="421">
        <v>11</v>
      </c>
      <c r="D2181" s="41"/>
    </row>
    <row r="2182" spans="1:5">
      <c r="A2182" s="421" t="s">
        <v>592</v>
      </c>
      <c r="B2182" s="412">
        <f>VLOOKUP(B2171,'BANG LUONG 1'!$B$4:$AJ$55,14,0)</f>
        <v>0</v>
      </c>
      <c r="C2182" s="421">
        <v>12</v>
      </c>
      <c r="D2182" s="41">
        <f>B2179/26*B2182</f>
        <v>0</v>
      </c>
    </row>
    <row r="2183" spans="1:5">
      <c r="A2183" s="421" t="s">
        <v>357</v>
      </c>
      <c r="B2183" s="412">
        <f>VLOOKUP(B2171,'BANG LUONG 1'!$B$4:$AJ$55,15,0)</f>
        <v>0</v>
      </c>
      <c r="C2183" s="421">
        <v>13</v>
      </c>
      <c r="D2183" s="41">
        <f>B2179/26/8*1.5*B2183</f>
        <v>0</v>
      </c>
    </row>
    <row r="2184" spans="1:5">
      <c r="A2184" s="421" t="s">
        <v>387</v>
      </c>
      <c r="B2184" s="412">
        <f>VLOOKUP(B2171,'BANG LUONG 1'!$B$4:$AJ$55,16,0)</f>
        <v>0</v>
      </c>
      <c r="C2184" s="421">
        <v>14</v>
      </c>
      <c r="D2184" s="41">
        <f>B2179/26/8*2*B2184</f>
        <v>0</v>
      </c>
    </row>
    <row r="2185" spans="1:5">
      <c r="A2185" s="421" t="s">
        <v>593</v>
      </c>
      <c r="B2185" s="412">
        <f>VLOOKUP(B2171,'BANG LUONG 1'!$B$4:$AJ$55,17,0)</f>
        <v>0</v>
      </c>
      <c r="C2185" s="421"/>
      <c r="D2185" s="41">
        <f>(B2179/26)*B2185</f>
        <v>0</v>
      </c>
    </row>
    <row r="2186" spans="1:5">
      <c r="A2186" s="421" t="s">
        <v>388</v>
      </c>
      <c r="B2186" s="412">
        <f>VLOOKUP(B2171,'BANG LUONG 1'!$B$4:$AJ$55,18,0)</f>
        <v>0</v>
      </c>
      <c r="C2186" s="421">
        <v>15</v>
      </c>
      <c r="D2186" s="41">
        <f>(B2179/26*B2186)*3</f>
        <v>0</v>
      </c>
    </row>
    <row r="2187" spans="1:5">
      <c r="A2187" s="421" t="s">
        <v>533</v>
      </c>
      <c r="B2187" s="412">
        <f>VLOOKUP(B2171,'BANG LUONG 1'!$B$4:$AJ$55,19,0)</f>
        <v>4375168.269230769</v>
      </c>
      <c r="C2187" s="183">
        <v>16</v>
      </c>
      <c r="D2187" s="185">
        <f>B2181+D2183+D2184+D2182+D2186+D2185</f>
        <v>4375168.269230769</v>
      </c>
      <c r="E2187" s="108"/>
    </row>
    <row r="2188" spans="1:5">
      <c r="A2188" s="421" t="s">
        <v>535</v>
      </c>
      <c r="B2188" s="412">
        <f>VLOOKUP(B2171,'BANG LUONG 1'!$B$4:$AJ$55,20,0)</f>
        <v>-4375168.269230769</v>
      </c>
      <c r="C2188" s="421">
        <v>17</v>
      </c>
      <c r="D2188" s="41"/>
    </row>
    <row r="2189" spans="1:5">
      <c r="A2189" s="421" t="s">
        <v>370</v>
      </c>
      <c r="B2189" s="412">
        <f>VLOOKUP(B2171,'BANG LUONG 1'!$B$4:$AJ$55,22,0)</f>
        <v>126393.75</v>
      </c>
      <c r="C2189" s="421">
        <v>18</v>
      </c>
      <c r="D2189" s="41"/>
    </row>
    <row r="2190" spans="1:5">
      <c r="A2190" s="421" t="s">
        <v>371</v>
      </c>
      <c r="B2190" s="412">
        <f>VLOOKUP(B2171,'BANG LUONG 1'!$B$4:$AJ$55,23,0)</f>
        <v>300000</v>
      </c>
      <c r="C2190" s="421">
        <v>19</v>
      </c>
      <c r="D2190" s="41"/>
    </row>
    <row r="2191" spans="1:5">
      <c r="A2191" s="421" t="s">
        <v>560</v>
      </c>
      <c r="B2191" s="412">
        <f>VLOOKUP(B2171,'BANG LUONG 1'!$B$4:$AJ$55,24,0)</f>
        <v>0</v>
      </c>
      <c r="C2191" s="421">
        <v>22</v>
      </c>
      <c r="D2191" s="41"/>
    </row>
    <row r="2192" spans="1:5">
      <c r="A2192" s="183" t="s">
        <v>237</v>
      </c>
      <c r="B2192" s="415">
        <f>VLOOKUP(B2171,'BANG LUONG 1'!$B$4:$AJ$55,26,0)</f>
        <v>426393.75</v>
      </c>
      <c r="C2192" s="421">
        <v>24</v>
      </c>
      <c r="D2192" s="41"/>
    </row>
    <row r="2193" spans="1:5">
      <c r="A2193" s="421" t="s">
        <v>545</v>
      </c>
      <c r="B2193" s="412">
        <f>VLOOKUP(B2171,'BANG LUONG 1'!$B$4:$AJ$55,27,0)</f>
        <v>3000000</v>
      </c>
      <c r="C2193" s="421">
        <v>25</v>
      </c>
      <c r="D2193" s="41"/>
    </row>
    <row r="2194" spans="1:5">
      <c r="A2194" s="421" t="s">
        <v>544</v>
      </c>
      <c r="B2194" s="412">
        <f>VLOOKUP(B2171,'BANG LUONG 1'!$B$4:$AJ$55,28,0)</f>
        <v>480585</v>
      </c>
      <c r="C2194" s="421">
        <v>26</v>
      </c>
      <c r="D2194" s="41"/>
    </row>
    <row r="2195" spans="1:5">
      <c r="A2195" s="421" t="s">
        <v>713</v>
      </c>
      <c r="B2195" s="415">
        <f>VLOOKUP(B2171,'BANG LUONG 1'!$B$4:$AJ$55,32,0)</f>
        <v>0</v>
      </c>
      <c r="C2195" s="421"/>
      <c r="D2195" s="41"/>
    </row>
    <row r="2196" spans="1:5">
      <c r="A2196" s="421" t="s">
        <v>714</v>
      </c>
      <c r="B2196" s="415">
        <f>VLOOKUP(B2171,'BANG LUONG 1'!$B$4:$AJ$55,33,0)</f>
        <v>0</v>
      </c>
      <c r="C2196" s="421"/>
      <c r="D2196" s="41"/>
    </row>
    <row r="2197" spans="1:5">
      <c r="A2197" s="183" t="s">
        <v>707</v>
      </c>
      <c r="B2197" s="415">
        <f>VLOOKUP(B2171,'BANG LUONG 1'!$B$4:$AJ$55,34,0)</f>
        <v>0</v>
      </c>
      <c r="C2197" s="421"/>
      <c r="D2197" s="41"/>
      <c r="E2197" s="108" t="str">
        <f>B2172</f>
        <v>Kim Em</v>
      </c>
    </row>
    <row r="2198" spans="1:5">
      <c r="A2198" s="183" t="s">
        <v>546</v>
      </c>
      <c r="B2198" s="415">
        <f>VLOOKUP(B2171,'BANG LUONG 1'!$B$4:$AJ$55,35,0)</f>
        <v>-3054000</v>
      </c>
      <c r="C2198" s="421"/>
      <c r="D2198" s="41"/>
    </row>
    <row r="2199" spans="1:5">
      <c r="A2199" s="184" t="s">
        <v>549</v>
      </c>
      <c r="B2199" s="424">
        <f>'BANG LUONG 1'!$P$2</f>
        <v>43702</v>
      </c>
    </row>
    <row r="2200" spans="1:5">
      <c r="A2200" s="183" t="s">
        <v>1</v>
      </c>
      <c r="B2200" s="185" t="s">
        <v>155</v>
      </c>
      <c r="C2200" s="421">
        <v>1</v>
      </c>
      <c r="D2200" s="41"/>
    </row>
    <row r="2201" spans="1:5">
      <c r="A2201" s="183" t="s">
        <v>2</v>
      </c>
      <c r="B2201" s="185" t="str">
        <f>VLOOKUP($B2200,'BANG LUONG 1'!$B$5:$AB$47,C2201,0)</f>
        <v>Nguyễn Văn Rắng</v>
      </c>
      <c r="C2201" s="421">
        <v>2</v>
      </c>
      <c r="D2201" s="41"/>
    </row>
    <row r="2202" spans="1:5">
      <c r="A2202" s="421" t="s">
        <v>3</v>
      </c>
      <c r="B2202" s="41" t="str">
        <f>VLOOKUP($B2200,'BANG LUONG 1'!$B$5:$AJ$47,C2202,0)</f>
        <v xml:space="preserve">Công nhân </v>
      </c>
      <c r="C2202" s="421">
        <v>3</v>
      </c>
      <c r="D2202" s="41"/>
    </row>
    <row r="2203" spans="1:5">
      <c r="A2203" s="421" t="s">
        <v>376</v>
      </c>
      <c r="B2203" s="410">
        <f>VLOOKUP($B2200,'BANG LUONG 1'!$B$4:$AJ$55,4,0)</f>
        <v>42422</v>
      </c>
      <c r="C2203" s="421">
        <v>4</v>
      </c>
      <c r="D2203" s="41"/>
    </row>
    <row r="2204" spans="1:5">
      <c r="A2204" s="421" t="s">
        <v>698</v>
      </c>
      <c r="B2204" s="411">
        <f>VLOOKUP(B2200,'BANG LUONG 1'!$B$4:$AJ$55,6,0)</f>
        <v>0.03</v>
      </c>
      <c r="C2204" s="421">
        <v>5</v>
      </c>
      <c r="D2204" s="41"/>
    </row>
    <row r="2205" spans="1:5">
      <c r="A2205" s="421" t="s">
        <v>229</v>
      </c>
      <c r="B2205" s="412">
        <f>'thang luong moi'!$F$5</f>
        <v>4012500</v>
      </c>
      <c r="C2205" s="421">
        <v>6</v>
      </c>
      <c r="D2205" s="41"/>
    </row>
    <row r="2206" spans="1:5">
      <c r="A2206" s="421" t="s">
        <v>217</v>
      </c>
      <c r="B2206" s="412" t="str">
        <f>VLOOKUP(B2200,'BANG LUONG 1'!$B$4:$AJ$55,8,0)</f>
        <v>B.05</v>
      </c>
      <c r="C2206" s="421">
        <v>7</v>
      </c>
      <c r="D2206" s="41"/>
    </row>
    <row r="2207" spans="1:5">
      <c r="A2207" s="421" t="s">
        <v>230</v>
      </c>
      <c r="B2207" s="412">
        <f>VLOOKUP(B2200,'BANG LUONG 1'!$B$4:$AJ$55,9,0)</f>
        <v>1</v>
      </c>
      <c r="C2207" s="421">
        <v>8</v>
      </c>
      <c r="D2207" s="41"/>
    </row>
    <row r="2208" spans="1:5">
      <c r="A2208" s="421" t="s">
        <v>538</v>
      </c>
      <c r="B2208" s="412">
        <f>VLOOKUP(B2200,'BANG LUONG 1'!$B$4:$AJ$55,11,0)</f>
        <v>4213125</v>
      </c>
      <c r="C2208" s="421">
        <v>9</v>
      </c>
      <c r="D2208" s="41"/>
    </row>
    <row r="2209" spans="1:5">
      <c r="A2209" s="421" t="s">
        <v>354</v>
      </c>
      <c r="B2209" s="412">
        <f>VLOOKUP(B2200,'BANG LUONG 1'!$B$4:$AJ$55,12,0)</f>
        <v>27</v>
      </c>
      <c r="C2209" s="421">
        <v>10</v>
      </c>
      <c r="D2209" s="41"/>
    </row>
    <row r="2210" spans="1:5">
      <c r="A2210" s="421" t="s">
        <v>534</v>
      </c>
      <c r="B2210" s="412">
        <f>VLOOKUP(B2200,'BANG LUONG 1'!$B$4:$AJ$55,13,0)</f>
        <v>4375168.269230769</v>
      </c>
      <c r="C2210" s="421">
        <v>11</v>
      </c>
      <c r="D2210" s="41"/>
    </row>
    <row r="2211" spans="1:5">
      <c r="A2211" s="421" t="s">
        <v>592</v>
      </c>
      <c r="B2211" s="412">
        <f>VLOOKUP(B2200,'BANG LUONG 1'!$B$4:$AJ$55,14,0)</f>
        <v>0</v>
      </c>
      <c r="C2211" s="421">
        <v>12</v>
      </c>
      <c r="D2211" s="41">
        <f>B2208/26*B2211</f>
        <v>0</v>
      </c>
    </row>
    <row r="2212" spans="1:5">
      <c r="A2212" s="421" t="s">
        <v>357</v>
      </c>
      <c r="B2212" s="412">
        <f>VLOOKUP(B2200,'BANG LUONG 1'!$B$4:$AJ$55,15,0)</f>
        <v>0</v>
      </c>
      <c r="C2212" s="421">
        <v>13</v>
      </c>
      <c r="D2212" s="41">
        <f>B2208/26/8*1.5*B2212</f>
        <v>0</v>
      </c>
    </row>
    <row r="2213" spans="1:5">
      <c r="A2213" s="421" t="s">
        <v>387</v>
      </c>
      <c r="B2213" s="412">
        <f>VLOOKUP(B2200,'BANG LUONG 1'!$B$4:$AJ$55,16,0)</f>
        <v>0</v>
      </c>
      <c r="C2213" s="421">
        <v>14</v>
      </c>
      <c r="D2213" s="41">
        <f>B2208/26/8*2*B2213</f>
        <v>0</v>
      </c>
    </row>
    <row r="2214" spans="1:5">
      <c r="A2214" s="421" t="s">
        <v>593</v>
      </c>
      <c r="B2214" s="412">
        <f>VLOOKUP(B2200,'BANG LUONG 1'!$B$4:$AJ$55,17,0)</f>
        <v>0</v>
      </c>
      <c r="C2214" s="421"/>
      <c r="D2214" s="41">
        <f>(B2208/26)*B2214</f>
        <v>0</v>
      </c>
    </row>
    <row r="2215" spans="1:5">
      <c r="A2215" s="421" t="s">
        <v>388</v>
      </c>
      <c r="B2215" s="412">
        <f>VLOOKUP(B2200,'BANG LUONG 1'!$B$4:$AJ$55,18,0)</f>
        <v>0</v>
      </c>
      <c r="C2215" s="421">
        <v>15</v>
      </c>
      <c r="D2215" s="41">
        <f>(B2208/26*B2215)*3</f>
        <v>0</v>
      </c>
    </row>
    <row r="2216" spans="1:5">
      <c r="A2216" s="421" t="s">
        <v>533</v>
      </c>
      <c r="B2216" s="412">
        <f>VLOOKUP(B2200,'BANG LUONG 1'!$B$4:$AJ$55,19,0)</f>
        <v>4375168.269230769</v>
      </c>
      <c r="C2216" s="183">
        <v>16</v>
      </c>
      <c r="D2216" s="185">
        <f>B2210+D2212+D2213+D2211+D2215+D2214</f>
        <v>4375168.269230769</v>
      </c>
      <c r="E2216" s="108"/>
    </row>
    <row r="2217" spans="1:5">
      <c r="A2217" s="421" t="s">
        <v>535</v>
      </c>
      <c r="B2217" s="412">
        <f>VLOOKUP(B2200,'BANG LUONG 1'!$B$4:$AJ$55,20,0)</f>
        <v>-4117214.423076923</v>
      </c>
      <c r="C2217" s="421">
        <v>17</v>
      </c>
      <c r="D2217" s="41"/>
    </row>
    <row r="2218" spans="1:5">
      <c r="A2218" s="421" t="s">
        <v>370</v>
      </c>
      <c r="B2218" s="412">
        <f>VLOOKUP(B2200,'BANG LUONG 1'!$B$4:$AJ$55,22,0)</f>
        <v>126393.75</v>
      </c>
      <c r="C2218" s="421">
        <v>18</v>
      </c>
      <c r="D2218" s="41"/>
    </row>
    <row r="2219" spans="1:5">
      <c r="A2219" s="421" t="s">
        <v>371</v>
      </c>
      <c r="B2219" s="412">
        <f>VLOOKUP(B2200,'BANG LUONG 1'!$B$4:$AJ$55,23,0)</f>
        <v>300000</v>
      </c>
      <c r="C2219" s="421">
        <v>19</v>
      </c>
      <c r="D2219" s="41"/>
    </row>
    <row r="2220" spans="1:5">
      <c r="A2220" s="421" t="s">
        <v>560</v>
      </c>
      <c r="B2220" s="412">
        <f>VLOOKUP(B2200,'BANG LUONG 1'!$B$4:$AJ$55,24,0)</f>
        <v>0</v>
      </c>
      <c r="C2220" s="421">
        <v>22</v>
      </c>
      <c r="D2220" s="41"/>
    </row>
    <row r="2221" spans="1:5">
      <c r="A2221" s="183" t="s">
        <v>237</v>
      </c>
      <c r="B2221" s="415">
        <f>VLOOKUP(B2200,'BANG LUONG 1'!$B$4:$AJ$55,26,0)</f>
        <v>684347.59615384601</v>
      </c>
      <c r="C2221" s="421">
        <v>24</v>
      </c>
      <c r="D2221" s="41"/>
    </row>
    <row r="2222" spans="1:5">
      <c r="A2222" s="421" t="s">
        <v>545</v>
      </c>
      <c r="B2222" s="412">
        <f>VLOOKUP(B2200,'BANG LUONG 1'!$B$4:$AJ$55,27,0)</f>
        <v>4000000</v>
      </c>
      <c r="C2222" s="421">
        <v>25</v>
      </c>
      <c r="D2222" s="41"/>
    </row>
    <row r="2223" spans="1:5">
      <c r="A2223" s="421" t="s">
        <v>544</v>
      </c>
      <c r="B2223" s="412">
        <f>VLOOKUP(B2200,'BANG LUONG 1'!$B$4:$AJ$55,28,0)</f>
        <v>480585</v>
      </c>
      <c r="C2223" s="421">
        <v>26</v>
      </c>
      <c r="D2223" s="41"/>
    </row>
    <row r="2224" spans="1:5">
      <c r="A2224" s="421" t="s">
        <v>713</v>
      </c>
      <c r="B2224" s="415">
        <f>VLOOKUP(B2200,'BANG LUONG 1'!$B$4:$AJ$55,32,0)</f>
        <v>0</v>
      </c>
      <c r="C2224" s="421"/>
      <c r="D2224" s="41"/>
    </row>
    <row r="2225" spans="1:5">
      <c r="A2225" s="421" t="s">
        <v>714</v>
      </c>
      <c r="B2225" s="415">
        <f>VLOOKUP(B2200,'BANG LUONG 1'!$B$4:$AJ$55,33,0)</f>
        <v>0</v>
      </c>
      <c r="C2225" s="421"/>
      <c r="D2225" s="41"/>
    </row>
    <row r="2226" spans="1:5">
      <c r="A2226" s="183" t="s">
        <v>707</v>
      </c>
      <c r="B2226" s="415">
        <f>VLOOKUP(B2200,'BANG LUONG 1'!$B$4:$AJ$55,34,0)</f>
        <v>0</v>
      </c>
      <c r="C2226" s="421"/>
      <c r="D2226" s="41"/>
      <c r="E2226" s="108" t="str">
        <f>B2201</f>
        <v>Nguyễn Văn Rắng</v>
      </c>
    </row>
    <row r="2227" spans="1:5">
      <c r="A2227" s="183" t="s">
        <v>546</v>
      </c>
      <c r="B2227" s="415">
        <f>VLOOKUP(B2200,'BANG LUONG 1'!$B$4:$AJ$55,35,0)</f>
        <v>-3796000</v>
      </c>
      <c r="C2227" s="421"/>
      <c r="D2227" s="41"/>
    </row>
    <row r="2228" spans="1:5">
      <c r="A2228" s="183"/>
      <c r="B2228" s="412"/>
      <c r="C2228" s="421">
        <v>27</v>
      </c>
      <c r="D2228" s="185"/>
    </row>
    <row r="2229" spans="1:5">
      <c r="A2229" s="184" t="s">
        <v>549</v>
      </c>
      <c r="B2229" s="424">
        <f>'BANG LUONG 1'!$P$2</f>
        <v>43702</v>
      </c>
    </row>
    <row r="2230" spans="1:5">
      <c r="A2230" s="183" t="s">
        <v>1</v>
      </c>
      <c r="B2230" s="185" t="s">
        <v>156</v>
      </c>
      <c r="C2230" s="421">
        <v>1</v>
      </c>
      <c r="D2230" s="41"/>
    </row>
    <row r="2231" spans="1:5">
      <c r="A2231" s="183" t="s">
        <v>2</v>
      </c>
      <c r="B2231" s="185" t="str">
        <f>VLOOKUP($B2230,'BANG LUONG 1'!$B$5:$AB$50,C2231,0)</f>
        <v>Lê Ngọc Đức</v>
      </c>
      <c r="C2231" s="421">
        <v>2</v>
      </c>
      <c r="D2231" s="41"/>
    </row>
    <row r="2232" spans="1:5">
      <c r="A2232" s="421" t="s">
        <v>3</v>
      </c>
      <c r="B2232" s="41" t="str">
        <f>VLOOKUP($B2230,'BANG LUONG 1'!$B$5:$AJ$47,C2232,0)</f>
        <v xml:space="preserve">Công nhân </v>
      </c>
      <c r="C2232" s="421">
        <v>3</v>
      </c>
      <c r="D2232" s="41"/>
    </row>
    <row r="2233" spans="1:5">
      <c r="A2233" s="421" t="s">
        <v>376</v>
      </c>
      <c r="B2233" s="410">
        <f>VLOOKUP($B2230,'BANG LUONG 1'!$B$4:$AJ$55,4,0)</f>
        <v>43453</v>
      </c>
      <c r="C2233" s="421">
        <v>4</v>
      </c>
      <c r="D2233" s="41"/>
    </row>
    <row r="2234" spans="1:5">
      <c r="A2234" s="421" t="s">
        <v>698</v>
      </c>
      <c r="B2234" s="411">
        <f>VLOOKUP(B2230,'BANG LUONG 1'!$B$4:$AJ$55,6,0)</f>
        <v>0</v>
      </c>
      <c r="C2234" s="421">
        <v>5</v>
      </c>
      <c r="D2234" s="41"/>
    </row>
    <row r="2235" spans="1:5">
      <c r="A2235" s="421" t="s">
        <v>229</v>
      </c>
      <c r="B2235" s="412">
        <f>'thang luong moi'!$F$5</f>
        <v>4012500</v>
      </c>
      <c r="C2235" s="421">
        <v>6</v>
      </c>
      <c r="D2235" s="41"/>
    </row>
    <row r="2236" spans="1:5">
      <c r="A2236" s="421" t="s">
        <v>217</v>
      </c>
      <c r="B2236" s="412" t="str">
        <f>VLOOKUP(B2230,'BANG LUONG 1'!$B$4:$AJ$55,8,0)</f>
        <v>B.05</v>
      </c>
      <c r="C2236" s="421">
        <v>7</v>
      </c>
      <c r="D2236" s="41"/>
    </row>
    <row r="2237" spans="1:5">
      <c r="A2237" s="421" t="s">
        <v>230</v>
      </c>
      <c r="B2237" s="412">
        <f>VLOOKUP(B2230,'BANG LUONG 1'!$B$4:$AJ$55,9,0)</f>
        <v>1</v>
      </c>
      <c r="C2237" s="421">
        <v>8</v>
      </c>
      <c r="D2237" s="41"/>
    </row>
    <row r="2238" spans="1:5">
      <c r="A2238" s="421" t="s">
        <v>538</v>
      </c>
      <c r="B2238" s="412">
        <f>VLOOKUP(B2230,'BANG LUONG 1'!$B$4:$AJ$55,11,0)</f>
        <v>4213125</v>
      </c>
      <c r="C2238" s="421">
        <v>9</v>
      </c>
      <c r="D2238" s="41"/>
    </row>
    <row r="2239" spans="1:5">
      <c r="A2239" s="421" t="s">
        <v>354</v>
      </c>
      <c r="B2239" s="412">
        <f>VLOOKUP(B2230,'BANG LUONG 1'!$B$4:$AJ$55,12,0)</f>
        <v>27</v>
      </c>
      <c r="C2239" s="421">
        <v>10</v>
      </c>
      <c r="D2239" s="41"/>
    </row>
    <row r="2240" spans="1:5">
      <c r="A2240" s="421" t="s">
        <v>534</v>
      </c>
      <c r="B2240" s="412">
        <f>VLOOKUP(B2230,'BANG LUONG 1'!$B$4:$AJ$55,13,0)</f>
        <v>4375168.269230769</v>
      </c>
      <c r="C2240" s="421">
        <v>11</v>
      </c>
      <c r="D2240" s="41"/>
    </row>
    <row r="2241" spans="1:5">
      <c r="A2241" s="421" t="s">
        <v>592</v>
      </c>
      <c r="B2241" s="412">
        <f>VLOOKUP(B2230,'BANG LUONG 1'!$B$4:$AJ$55,14,0)</f>
        <v>0</v>
      </c>
      <c r="C2241" s="421">
        <v>12</v>
      </c>
      <c r="D2241" s="41">
        <f>B2238/26*B2241</f>
        <v>0</v>
      </c>
    </row>
    <row r="2242" spans="1:5">
      <c r="A2242" s="421" t="s">
        <v>357</v>
      </c>
      <c r="B2242" s="412">
        <f>VLOOKUP(B2230,'BANG LUONG 1'!$B$4:$AJ$55,15,0)</f>
        <v>0</v>
      </c>
      <c r="C2242" s="421">
        <v>13</v>
      </c>
      <c r="D2242" s="41">
        <f>B2238/26/8*1.5*B2242</f>
        <v>0</v>
      </c>
    </row>
    <row r="2243" spans="1:5">
      <c r="A2243" s="421" t="s">
        <v>387</v>
      </c>
      <c r="B2243" s="412">
        <f>VLOOKUP(B2230,'BANG LUONG 1'!$B$4:$AJ$55,16,0)</f>
        <v>0</v>
      </c>
      <c r="C2243" s="421">
        <v>14</v>
      </c>
      <c r="D2243" s="41">
        <f>B2238/26/8*2*B2243</f>
        <v>0</v>
      </c>
    </row>
    <row r="2244" spans="1:5">
      <c r="A2244" s="421" t="s">
        <v>593</v>
      </c>
      <c r="B2244" s="412">
        <f>VLOOKUP(B2230,'BANG LUONG 1'!$B$4:$AJ$55,17,0)</f>
        <v>0</v>
      </c>
      <c r="C2244" s="421"/>
      <c r="D2244" s="41">
        <f>(B2238/26)*B2244</f>
        <v>0</v>
      </c>
    </row>
    <row r="2245" spans="1:5">
      <c r="A2245" s="421" t="s">
        <v>388</v>
      </c>
      <c r="B2245" s="412">
        <f>VLOOKUP(B2230,'BANG LUONG 1'!$B$4:$AJ$55,18,0)</f>
        <v>0</v>
      </c>
      <c r="C2245" s="421">
        <v>15</v>
      </c>
      <c r="D2245" s="41">
        <f>(B2238/26*B2245)*3</f>
        <v>0</v>
      </c>
    </row>
    <row r="2246" spans="1:5">
      <c r="A2246" s="421" t="s">
        <v>533</v>
      </c>
      <c r="B2246" s="412">
        <f>VLOOKUP(B2230,'BANG LUONG 1'!$B$4:$AJ$55,19,0)</f>
        <v>4375168.269230769</v>
      </c>
      <c r="C2246" s="183">
        <v>16</v>
      </c>
      <c r="D2246" s="185">
        <f>B2240+D2242+D2243+D2241+D2245+D2244</f>
        <v>4375168.269230769</v>
      </c>
      <c r="E2246" s="108"/>
    </row>
    <row r="2247" spans="1:5">
      <c r="A2247" s="421" t="s">
        <v>535</v>
      </c>
      <c r="B2247" s="412">
        <f>VLOOKUP(B2230,'BANG LUONG 1'!$B$4:$AJ$55,20,0)</f>
        <v>-4375168.269230769</v>
      </c>
      <c r="C2247" s="421">
        <v>17</v>
      </c>
      <c r="D2247" s="41"/>
    </row>
    <row r="2248" spans="1:5">
      <c r="A2248" s="421" t="s">
        <v>370</v>
      </c>
      <c r="B2248" s="412">
        <f>VLOOKUP(B2230,'BANG LUONG 1'!$B$4:$AJ$55,22,0)</f>
        <v>0</v>
      </c>
      <c r="C2248" s="421">
        <v>18</v>
      </c>
      <c r="D2248" s="41"/>
    </row>
    <row r="2249" spans="1:5">
      <c r="A2249" s="421" t="s">
        <v>371</v>
      </c>
      <c r="B2249" s="412">
        <f>VLOOKUP(B2230,'BANG LUONG 1'!$B$4:$AJ$55,23,0)</f>
        <v>300000</v>
      </c>
      <c r="C2249" s="421">
        <v>19</v>
      </c>
      <c r="D2249" s="41"/>
    </row>
    <row r="2250" spans="1:5">
      <c r="A2250" s="421" t="s">
        <v>560</v>
      </c>
      <c r="B2250" s="412">
        <f>VLOOKUP(B2230,'BANG LUONG 1'!$B$4:$AJ$55,24,0)</f>
        <v>0</v>
      </c>
      <c r="C2250" s="421">
        <v>22</v>
      </c>
      <c r="D2250" s="41"/>
    </row>
    <row r="2251" spans="1:5">
      <c r="A2251" s="183" t="s">
        <v>237</v>
      </c>
      <c r="B2251" s="415">
        <f>VLOOKUP(B2230,'BANG LUONG 1'!$B$4:$AJ$55,26,0)</f>
        <v>300000</v>
      </c>
      <c r="C2251" s="421">
        <v>24</v>
      </c>
      <c r="D2251" s="41"/>
    </row>
    <row r="2252" spans="1:5">
      <c r="A2252" s="421" t="s">
        <v>545</v>
      </c>
      <c r="B2252" s="412">
        <f>VLOOKUP(B2230,'BANG LUONG 1'!$B$4:$AJ$55,27,0)</f>
        <v>4000000</v>
      </c>
      <c r="C2252" s="421">
        <v>25</v>
      </c>
      <c r="D2252" s="41"/>
    </row>
    <row r="2253" spans="1:5">
      <c r="A2253" s="421" t="s">
        <v>544</v>
      </c>
      <c r="B2253" s="412">
        <f>VLOOKUP(B2230,'BANG LUONG 1'!$B$4:$AJ$55,28,0)</f>
        <v>0</v>
      </c>
      <c r="C2253" s="421">
        <v>26</v>
      </c>
      <c r="D2253" s="41"/>
    </row>
    <row r="2254" spans="1:5">
      <c r="A2254" s="421" t="s">
        <v>713</v>
      </c>
      <c r="B2254" s="415">
        <f>VLOOKUP(B2230,'BANG LUONG 1'!$B$4:$AJ$55,32,0)</f>
        <v>0</v>
      </c>
      <c r="C2254" s="421"/>
      <c r="D2254" s="41"/>
    </row>
    <row r="2255" spans="1:5">
      <c r="A2255" s="421" t="s">
        <v>714</v>
      </c>
      <c r="B2255" s="415">
        <f>VLOOKUP(B2230,'BANG LUONG 1'!$B$4:$AJ$55,33,0)</f>
        <v>0</v>
      </c>
      <c r="C2255" s="421"/>
      <c r="D2255" s="41"/>
    </row>
    <row r="2256" spans="1:5">
      <c r="A2256" s="183" t="s">
        <v>707</v>
      </c>
      <c r="B2256" s="415">
        <f>VLOOKUP(B2230,'BANG LUONG 1'!$B$4:$AJ$55,34,0)</f>
        <v>0</v>
      </c>
      <c r="C2256" s="421"/>
      <c r="D2256" s="41"/>
      <c r="E2256" s="108" t="str">
        <f>B2231</f>
        <v>Lê Ngọc Đức</v>
      </c>
    </row>
    <row r="2257" spans="1:4">
      <c r="A2257" s="183" t="s">
        <v>546</v>
      </c>
      <c r="B2257" s="415">
        <f>VLOOKUP(B2230,'BANG LUONG 1'!$B$4:$AJ$55,35,0)</f>
        <v>-3700000</v>
      </c>
      <c r="C2257" s="421"/>
      <c r="D2257" s="41"/>
    </row>
    <row r="2258" spans="1:4">
      <c r="A2258" s="183"/>
      <c r="B2258" s="412"/>
      <c r="C2258" s="421">
        <v>27</v>
      </c>
      <c r="D2258" s="185"/>
    </row>
    <row r="2259" spans="1:4">
      <c r="A2259" s="184" t="s">
        <v>549</v>
      </c>
      <c r="B2259" s="424">
        <f>'BANG LUONG 1'!$P$2</f>
        <v>43702</v>
      </c>
    </row>
    <row r="2260" spans="1:4">
      <c r="A2260" s="183" t="s">
        <v>1</v>
      </c>
      <c r="B2260" s="185" t="s">
        <v>156</v>
      </c>
      <c r="C2260" s="421">
        <v>1</v>
      </c>
      <c r="D2260" s="41"/>
    </row>
    <row r="2261" spans="1:4">
      <c r="A2261" s="183" t="s">
        <v>2</v>
      </c>
      <c r="B2261" s="185" t="str">
        <f>VLOOKUP($B2260,'BANG LUONG 1'!$B$5:$AB$50,C2261,0)</f>
        <v>Lê Ngọc Đức</v>
      </c>
      <c r="C2261" s="421">
        <v>2</v>
      </c>
      <c r="D2261" s="41"/>
    </row>
    <row r="2262" spans="1:4">
      <c r="A2262" s="421" t="s">
        <v>3</v>
      </c>
      <c r="B2262" s="41" t="str">
        <f>VLOOKUP($B2260,'BANG LUONG 1'!$B$5:$AJ$47,C2262,0)</f>
        <v xml:space="preserve">Công nhân </v>
      </c>
      <c r="C2262" s="421">
        <v>3</v>
      </c>
      <c r="D2262" s="41"/>
    </row>
    <row r="2263" spans="1:4">
      <c r="A2263" s="421" t="s">
        <v>376</v>
      </c>
      <c r="B2263" s="410">
        <f>VLOOKUP($B2260,'BANG LUONG 1'!$B$4:$AJ$55,4,0)</f>
        <v>43453</v>
      </c>
      <c r="C2263" s="421">
        <v>4</v>
      </c>
      <c r="D2263" s="41"/>
    </row>
    <row r="2264" spans="1:4">
      <c r="A2264" s="421" t="s">
        <v>698</v>
      </c>
      <c r="B2264" s="411">
        <f>VLOOKUP(B2260,'BANG LUONG 1'!$B$4:$AJ$55,6,0)</f>
        <v>0</v>
      </c>
      <c r="C2264" s="421">
        <v>5</v>
      </c>
      <c r="D2264" s="41"/>
    </row>
    <row r="2265" spans="1:4">
      <c r="A2265" s="421" t="s">
        <v>229</v>
      </c>
      <c r="B2265" s="412">
        <f>'thang luong moi'!$F$5</f>
        <v>4012500</v>
      </c>
      <c r="C2265" s="421">
        <v>6</v>
      </c>
      <c r="D2265" s="41"/>
    </row>
    <row r="2266" spans="1:4">
      <c r="A2266" s="421" t="s">
        <v>217</v>
      </c>
      <c r="B2266" s="412" t="str">
        <f>VLOOKUP(B2260,'BANG LUONG 1'!$B$4:$AJ$55,8,0)</f>
        <v>B.05</v>
      </c>
      <c r="C2266" s="421">
        <v>7</v>
      </c>
      <c r="D2266" s="41"/>
    </row>
    <row r="2267" spans="1:4">
      <c r="A2267" s="421" t="s">
        <v>230</v>
      </c>
      <c r="B2267" s="412">
        <f>VLOOKUP(B2260,'BANG LUONG 1'!$B$4:$AJ$55,9,0)</f>
        <v>1</v>
      </c>
      <c r="C2267" s="421">
        <v>8</v>
      </c>
      <c r="D2267" s="41"/>
    </row>
    <row r="2268" spans="1:4">
      <c r="A2268" s="421" t="s">
        <v>538</v>
      </c>
      <c r="B2268" s="412">
        <f>VLOOKUP(B2260,'BANG LUONG 1'!$B$4:$AJ$55,11,0)</f>
        <v>4213125</v>
      </c>
      <c r="C2268" s="421">
        <v>9</v>
      </c>
      <c r="D2268" s="41"/>
    </row>
    <row r="2269" spans="1:4">
      <c r="A2269" s="421" t="s">
        <v>354</v>
      </c>
      <c r="B2269" s="412">
        <f>VLOOKUP(B2260,'BANG LUONG 1'!$B$4:$AJ$55,12,0)</f>
        <v>27</v>
      </c>
      <c r="C2269" s="421">
        <v>10</v>
      </c>
      <c r="D2269" s="41"/>
    </row>
    <row r="2270" spans="1:4">
      <c r="A2270" s="421" t="s">
        <v>534</v>
      </c>
      <c r="B2270" s="412">
        <f>VLOOKUP(B2260,'BANG LUONG 1'!$B$4:$AJ$55,13,0)</f>
        <v>4375168.269230769</v>
      </c>
      <c r="C2270" s="421">
        <v>11</v>
      </c>
      <c r="D2270" s="41"/>
    </row>
    <row r="2271" spans="1:4">
      <c r="A2271" s="421" t="s">
        <v>592</v>
      </c>
      <c r="B2271" s="412">
        <f>VLOOKUP(B2260,'BANG LUONG 1'!$B$4:$AJ$55,14,0)</f>
        <v>0</v>
      </c>
      <c r="C2271" s="421">
        <v>12</v>
      </c>
      <c r="D2271" s="41">
        <f>B2268/26*B2271</f>
        <v>0</v>
      </c>
    </row>
    <row r="2272" spans="1:4">
      <c r="A2272" s="421" t="s">
        <v>357</v>
      </c>
      <c r="B2272" s="412">
        <f>VLOOKUP(B2260,'BANG LUONG 1'!$B$4:$AJ$55,15,0)</f>
        <v>0</v>
      </c>
      <c r="C2272" s="421">
        <v>13</v>
      </c>
      <c r="D2272" s="41">
        <f>B2268/26/8*1.5*B2272</f>
        <v>0</v>
      </c>
    </row>
    <row r="2273" spans="1:5">
      <c r="A2273" s="421" t="s">
        <v>387</v>
      </c>
      <c r="B2273" s="412">
        <f>VLOOKUP(B2260,'BANG LUONG 1'!$B$4:$AJ$55,16,0)</f>
        <v>0</v>
      </c>
      <c r="C2273" s="421">
        <v>14</v>
      </c>
      <c r="D2273" s="41">
        <f>B2268/26/8*2*B2273</f>
        <v>0</v>
      </c>
    </row>
    <row r="2274" spans="1:5">
      <c r="A2274" s="421" t="s">
        <v>593</v>
      </c>
      <c r="B2274" s="412">
        <f>VLOOKUP(B2260,'BANG LUONG 1'!$B$4:$AJ$55,17,0)</f>
        <v>0</v>
      </c>
      <c r="C2274" s="421"/>
      <c r="D2274" s="41">
        <f>(B2268/26)*B2274</f>
        <v>0</v>
      </c>
    </row>
    <row r="2275" spans="1:5">
      <c r="A2275" s="421" t="s">
        <v>388</v>
      </c>
      <c r="B2275" s="412">
        <f>VLOOKUP(B2260,'BANG LUONG 1'!$B$4:$AJ$55,18,0)</f>
        <v>0</v>
      </c>
      <c r="C2275" s="421">
        <v>15</v>
      </c>
      <c r="D2275" s="41">
        <f>(B2268/26*B2275)*3</f>
        <v>0</v>
      </c>
    </row>
    <row r="2276" spans="1:5">
      <c r="A2276" s="421" t="s">
        <v>533</v>
      </c>
      <c r="B2276" s="412">
        <f>VLOOKUP(B2260,'BANG LUONG 1'!$B$4:$AJ$55,19,0)</f>
        <v>4375168.269230769</v>
      </c>
      <c r="C2276" s="183">
        <v>16</v>
      </c>
      <c r="D2276" s="185">
        <f>B2270+D2272+D2273+D2271+D2275+D2274</f>
        <v>4375168.269230769</v>
      </c>
      <c r="E2276" s="108"/>
    </row>
    <row r="2277" spans="1:5">
      <c r="A2277" s="421" t="s">
        <v>535</v>
      </c>
      <c r="B2277" s="412">
        <f>VLOOKUP(B2260,'BANG LUONG 1'!$B$4:$AJ$55,20,0)</f>
        <v>-4375168.269230769</v>
      </c>
      <c r="C2277" s="421">
        <v>17</v>
      </c>
      <c r="D2277" s="41"/>
    </row>
    <row r="2278" spans="1:5">
      <c r="A2278" s="421" t="s">
        <v>370</v>
      </c>
      <c r="B2278" s="412">
        <f>VLOOKUP(B2260,'BANG LUONG 1'!$B$4:$AJ$55,22,0)</f>
        <v>0</v>
      </c>
      <c r="C2278" s="421">
        <v>18</v>
      </c>
      <c r="D2278" s="41"/>
    </row>
    <row r="2279" spans="1:5">
      <c r="A2279" s="421" t="s">
        <v>371</v>
      </c>
      <c r="B2279" s="412">
        <f>VLOOKUP(B2260,'BANG LUONG 1'!$B$4:$AJ$55,23,0)</f>
        <v>300000</v>
      </c>
      <c r="C2279" s="421">
        <v>19</v>
      </c>
      <c r="D2279" s="41"/>
    </row>
    <row r="2280" spans="1:5">
      <c r="A2280" s="421" t="s">
        <v>560</v>
      </c>
      <c r="B2280" s="412">
        <f>VLOOKUP(B2260,'BANG LUONG 1'!$B$4:$AJ$55,24,0)</f>
        <v>0</v>
      </c>
      <c r="C2280" s="421">
        <v>22</v>
      </c>
      <c r="D2280" s="41"/>
    </row>
    <row r="2281" spans="1:5">
      <c r="A2281" s="183" t="s">
        <v>237</v>
      </c>
      <c r="B2281" s="415">
        <f>VLOOKUP(B2260,'BANG LUONG 1'!$B$4:$AJ$55,26,0)</f>
        <v>300000</v>
      </c>
      <c r="C2281" s="421">
        <v>24</v>
      </c>
      <c r="D2281" s="41"/>
    </row>
    <row r="2282" spans="1:5">
      <c r="A2282" s="421" t="s">
        <v>545</v>
      </c>
      <c r="B2282" s="412">
        <f>VLOOKUP(B2260,'BANG LUONG 1'!$B$4:$AJ$55,27,0)</f>
        <v>4000000</v>
      </c>
      <c r="C2282" s="421">
        <v>25</v>
      </c>
      <c r="D2282" s="41"/>
    </row>
    <row r="2283" spans="1:5">
      <c r="A2283" s="421" t="s">
        <v>544</v>
      </c>
      <c r="B2283" s="412">
        <f>VLOOKUP(B2260,'BANG LUONG 1'!$B$4:$AJ$55,28,0)</f>
        <v>0</v>
      </c>
      <c r="C2283" s="421">
        <v>26</v>
      </c>
      <c r="D2283" s="41"/>
    </row>
    <row r="2284" spans="1:5">
      <c r="A2284" s="421" t="s">
        <v>713</v>
      </c>
      <c r="B2284" s="415">
        <f>VLOOKUP(B2260,'BANG LUONG 1'!$B$4:$AJ$55,32,0)</f>
        <v>0</v>
      </c>
      <c r="C2284" s="421"/>
      <c r="D2284" s="41"/>
    </row>
    <row r="2285" spans="1:5">
      <c r="A2285" s="421" t="s">
        <v>714</v>
      </c>
      <c r="B2285" s="415">
        <f>VLOOKUP(B2260,'BANG LUONG 1'!$B$4:$AJ$55,33,0)</f>
        <v>0</v>
      </c>
      <c r="C2285" s="421"/>
      <c r="D2285" s="41"/>
    </row>
    <row r="2286" spans="1:5">
      <c r="A2286" s="183" t="s">
        <v>707</v>
      </c>
      <c r="B2286" s="415">
        <f>VLOOKUP(B2260,'BANG LUONG 1'!$B$4:$AJ$55,34,0)</f>
        <v>0</v>
      </c>
      <c r="C2286" s="421"/>
      <c r="D2286" s="41"/>
      <c r="E2286" s="108" t="str">
        <f>B2261</f>
        <v>Lê Ngọc Đức</v>
      </c>
    </row>
    <row r="2287" spans="1:5">
      <c r="A2287" s="183" t="s">
        <v>546</v>
      </c>
      <c r="B2287" s="415">
        <f>VLOOKUP(B2260,'BANG LUONG 1'!$B$4:$AJ$55,35,0)</f>
        <v>-3700000</v>
      </c>
      <c r="C2287" s="421"/>
      <c r="D2287" s="41"/>
    </row>
    <row r="2288" spans="1:5">
      <c r="A2288" s="184" t="s">
        <v>549</v>
      </c>
      <c r="B2288" s="424">
        <f>'BANG LUONG 1'!$P$2</f>
        <v>43702</v>
      </c>
    </row>
    <row r="2289" spans="1:4">
      <c r="A2289" s="183" t="s">
        <v>1</v>
      </c>
      <c r="B2289" s="185" t="s">
        <v>157</v>
      </c>
      <c r="C2289" s="421">
        <v>1</v>
      </c>
      <c r="D2289" s="41"/>
    </row>
    <row r="2290" spans="1:4">
      <c r="A2290" s="183" t="s">
        <v>2</v>
      </c>
      <c r="B2290" s="185" t="e">
        <f>VLOOKUP($B2289,'BANG LUONG 1'!$B$5:$AB$50,C2290,0)</f>
        <v>#N/A</v>
      </c>
      <c r="C2290" s="421">
        <v>2</v>
      </c>
      <c r="D2290" s="41"/>
    </row>
    <row r="2291" spans="1:4">
      <c r="A2291" s="421" t="s">
        <v>3</v>
      </c>
      <c r="B2291" s="41" t="e">
        <f>VLOOKUP($B2289,'BANG LUONG 1'!$B$5:$AJ$47,C2291,0)</f>
        <v>#N/A</v>
      </c>
      <c r="C2291" s="421">
        <v>3</v>
      </c>
      <c r="D2291" s="41"/>
    </row>
    <row r="2292" spans="1:4">
      <c r="A2292" s="421" t="s">
        <v>376</v>
      </c>
      <c r="B2292" s="410" t="e">
        <f>VLOOKUP($B2289,'BANG LUONG 1'!$B$4:$AJ$55,4,0)</f>
        <v>#N/A</v>
      </c>
      <c r="C2292" s="421">
        <v>4</v>
      </c>
      <c r="D2292" s="41"/>
    </row>
    <row r="2293" spans="1:4">
      <c r="A2293" s="421" t="s">
        <v>698</v>
      </c>
      <c r="B2293" s="411" t="e">
        <f>VLOOKUP(B2289,'BANG LUONG 1'!$B$4:$AJ$55,6,0)</f>
        <v>#N/A</v>
      </c>
      <c r="C2293" s="421">
        <v>5</v>
      </c>
      <c r="D2293" s="41"/>
    </row>
    <row r="2294" spans="1:4">
      <c r="A2294" s="421" t="s">
        <v>229</v>
      </c>
      <c r="B2294" s="412">
        <f>'thang luong moi'!$F$5</f>
        <v>4012500</v>
      </c>
      <c r="C2294" s="421">
        <v>6</v>
      </c>
      <c r="D2294" s="41"/>
    </row>
    <row r="2295" spans="1:4">
      <c r="A2295" s="421" t="s">
        <v>217</v>
      </c>
      <c r="B2295" s="412" t="e">
        <f>VLOOKUP(B2289,'BANG LUONG 1'!$B$4:$AJ$55,8,0)</f>
        <v>#N/A</v>
      </c>
      <c r="C2295" s="421">
        <v>7</v>
      </c>
      <c r="D2295" s="41"/>
    </row>
    <row r="2296" spans="1:4">
      <c r="A2296" s="421" t="s">
        <v>230</v>
      </c>
      <c r="B2296" s="412" t="e">
        <f>VLOOKUP(B2289,'BANG LUONG 1'!$B$4:$AJ$55,9,0)</f>
        <v>#N/A</v>
      </c>
      <c r="C2296" s="421">
        <v>8</v>
      </c>
      <c r="D2296" s="41"/>
    </row>
    <row r="2297" spans="1:4">
      <c r="A2297" s="421" t="s">
        <v>538</v>
      </c>
      <c r="B2297" s="412" t="e">
        <f>VLOOKUP(B2289,'BANG LUONG 1'!$B$4:$AJ$55,11,0)</f>
        <v>#N/A</v>
      </c>
      <c r="C2297" s="421">
        <v>9</v>
      </c>
      <c r="D2297" s="41"/>
    </row>
    <row r="2298" spans="1:4">
      <c r="A2298" s="421" t="s">
        <v>354</v>
      </c>
      <c r="B2298" s="412" t="e">
        <f>VLOOKUP(B2289,'BANG LUONG 1'!$B$4:$AJ$55,12,0)</f>
        <v>#N/A</v>
      </c>
      <c r="C2298" s="421">
        <v>10</v>
      </c>
      <c r="D2298" s="41"/>
    </row>
    <row r="2299" spans="1:4">
      <c r="A2299" s="421" t="s">
        <v>534</v>
      </c>
      <c r="B2299" s="412" t="e">
        <f>VLOOKUP(B2289,'BANG LUONG 1'!$B$4:$AJ$55,13,0)</f>
        <v>#N/A</v>
      </c>
      <c r="C2299" s="421">
        <v>11</v>
      </c>
      <c r="D2299" s="41"/>
    </row>
    <row r="2300" spans="1:4">
      <c r="A2300" s="421" t="s">
        <v>592</v>
      </c>
      <c r="B2300" s="412" t="e">
        <f>VLOOKUP(B2289,'BANG LUONG 1'!$B$4:$AJ$55,14,0)</f>
        <v>#N/A</v>
      </c>
      <c r="C2300" s="421">
        <v>12</v>
      </c>
      <c r="D2300" s="41" t="e">
        <f>B2297/26*B2300</f>
        <v>#N/A</v>
      </c>
    </row>
    <row r="2301" spans="1:4">
      <c r="A2301" s="421" t="s">
        <v>357</v>
      </c>
      <c r="B2301" s="412" t="e">
        <f>VLOOKUP(B2289,'BANG LUONG 1'!$B$4:$AJ$55,15,0)</f>
        <v>#N/A</v>
      </c>
      <c r="C2301" s="421">
        <v>13</v>
      </c>
      <c r="D2301" s="41" t="e">
        <f>B2297/26/8*1.5*B2301</f>
        <v>#N/A</v>
      </c>
    </row>
    <row r="2302" spans="1:4">
      <c r="A2302" s="421" t="s">
        <v>387</v>
      </c>
      <c r="B2302" s="412" t="e">
        <f>VLOOKUP(B2289,'BANG LUONG 1'!$B$4:$AJ$55,16,0)</f>
        <v>#N/A</v>
      </c>
      <c r="C2302" s="421">
        <v>14</v>
      </c>
      <c r="D2302" s="41" t="e">
        <f>B2297/26/8*2*B2302</f>
        <v>#N/A</v>
      </c>
    </row>
    <row r="2303" spans="1:4">
      <c r="A2303" s="421" t="s">
        <v>593</v>
      </c>
      <c r="B2303" s="412" t="e">
        <f>VLOOKUP(B2289,'BANG LUONG 1'!$B$4:$AJ$55,17,0)</f>
        <v>#N/A</v>
      </c>
      <c r="C2303" s="421"/>
      <c r="D2303" s="41" t="e">
        <f>(B2297/26)*B2303</f>
        <v>#N/A</v>
      </c>
    </row>
    <row r="2304" spans="1:4">
      <c r="A2304" s="421" t="s">
        <v>388</v>
      </c>
      <c r="B2304" s="412" t="e">
        <f>VLOOKUP(B2289,'BANG LUONG 1'!$B$4:$AJ$55,18,0)</f>
        <v>#N/A</v>
      </c>
      <c r="C2304" s="421">
        <v>15</v>
      </c>
      <c r="D2304" s="41" t="e">
        <f>(B2297/26*B2304)*3</f>
        <v>#N/A</v>
      </c>
    </row>
    <row r="2305" spans="1:5">
      <c r="A2305" s="421" t="s">
        <v>533</v>
      </c>
      <c r="B2305" s="412" t="e">
        <f>VLOOKUP(B2289,'BANG LUONG 1'!$B$4:$AJ$55,19,0)</f>
        <v>#N/A</v>
      </c>
      <c r="C2305" s="183">
        <v>16</v>
      </c>
      <c r="D2305" s="185" t="e">
        <f>B2299+D2301+D2302+D2300+D2304+D2303</f>
        <v>#N/A</v>
      </c>
      <c r="E2305" s="108"/>
    </row>
    <row r="2306" spans="1:5">
      <c r="A2306" s="421" t="s">
        <v>535</v>
      </c>
      <c r="B2306" s="412" t="e">
        <f>VLOOKUP(B2289,'BANG LUONG 1'!$B$4:$AJ$55,20,0)</f>
        <v>#N/A</v>
      </c>
      <c r="C2306" s="421">
        <v>17</v>
      </c>
      <c r="D2306" s="41"/>
    </row>
    <row r="2307" spans="1:5">
      <c r="A2307" s="421" t="s">
        <v>370</v>
      </c>
      <c r="B2307" s="412" t="e">
        <f>VLOOKUP(B2289,'BANG LUONG 1'!$B$4:$AJ$55,22,0)</f>
        <v>#N/A</v>
      </c>
      <c r="C2307" s="421">
        <v>18</v>
      </c>
      <c r="D2307" s="41"/>
    </row>
    <row r="2308" spans="1:5">
      <c r="A2308" s="421" t="s">
        <v>371</v>
      </c>
      <c r="B2308" s="412" t="e">
        <f>VLOOKUP(B2289,'BANG LUONG 1'!$B$4:$AJ$55,23,0)</f>
        <v>#N/A</v>
      </c>
      <c r="C2308" s="421">
        <v>19</v>
      </c>
      <c r="D2308" s="41"/>
    </row>
    <row r="2309" spans="1:5">
      <c r="A2309" s="421" t="s">
        <v>560</v>
      </c>
      <c r="B2309" s="412" t="e">
        <f>VLOOKUP(B2289,'BANG LUONG 1'!$B$4:$AJ$55,24,0)</f>
        <v>#N/A</v>
      </c>
      <c r="C2309" s="421">
        <v>22</v>
      </c>
      <c r="D2309" s="41"/>
    </row>
    <row r="2310" spans="1:5">
      <c r="A2310" s="183" t="s">
        <v>237</v>
      </c>
      <c r="B2310" s="415" t="e">
        <f>VLOOKUP(B2289,'BANG LUONG 1'!$B$4:$AJ$55,26,0)</f>
        <v>#N/A</v>
      </c>
      <c r="C2310" s="421">
        <v>24</v>
      </c>
      <c r="D2310" s="41"/>
    </row>
    <row r="2311" spans="1:5">
      <c r="A2311" s="421" t="s">
        <v>545</v>
      </c>
      <c r="B2311" s="412" t="e">
        <f>VLOOKUP(B2289,'BANG LUONG 1'!$B$4:$AJ$55,27,0)</f>
        <v>#N/A</v>
      </c>
      <c r="C2311" s="421">
        <v>25</v>
      </c>
      <c r="D2311" s="41"/>
    </row>
    <row r="2312" spans="1:5">
      <c r="A2312" s="421" t="s">
        <v>544</v>
      </c>
      <c r="B2312" s="412" t="e">
        <f>VLOOKUP(B2289,'BANG LUONG 1'!$B$4:$AJ$55,28,0)</f>
        <v>#N/A</v>
      </c>
      <c r="C2312" s="421">
        <v>26</v>
      </c>
      <c r="D2312" s="41"/>
    </row>
    <row r="2313" spans="1:5">
      <c r="A2313" s="421" t="s">
        <v>713</v>
      </c>
      <c r="B2313" s="415" t="e">
        <f>VLOOKUP(B2289,'BANG LUONG 1'!$B$4:$AJ$55,32,0)</f>
        <v>#N/A</v>
      </c>
      <c r="C2313" s="421"/>
      <c r="D2313" s="41"/>
    </row>
    <row r="2314" spans="1:5">
      <c r="A2314" s="421" t="s">
        <v>714</v>
      </c>
      <c r="B2314" s="415" t="e">
        <f>VLOOKUP(B2289,'BANG LUONG 1'!$B$4:$AJ$55,33,0)</f>
        <v>#N/A</v>
      </c>
      <c r="C2314" s="421"/>
      <c r="D2314" s="41"/>
    </row>
    <row r="2315" spans="1:5">
      <c r="A2315" s="183" t="s">
        <v>707</v>
      </c>
      <c r="B2315" s="415" t="e">
        <f>VLOOKUP(B2289,'BANG LUONG 1'!$B$4:$AJ$55,34,0)</f>
        <v>#N/A</v>
      </c>
      <c r="C2315" s="421"/>
      <c r="D2315" s="41"/>
      <c r="E2315" s="108" t="e">
        <f>B2290</f>
        <v>#N/A</v>
      </c>
    </row>
    <row r="2316" spans="1:5">
      <c r="A2316" s="183" t="s">
        <v>546</v>
      </c>
      <c r="B2316" s="415" t="e">
        <f>VLOOKUP(B2289,'BANG LUONG 1'!$B$4:$AJ$55,35,0)</f>
        <v>#N/A</v>
      </c>
      <c r="C2316" s="421"/>
      <c r="D2316" s="41"/>
    </row>
    <row r="2317" spans="1:5">
      <c r="A2317" s="183"/>
      <c r="B2317" s="412"/>
      <c r="C2317" s="421">
        <v>27</v>
      </c>
      <c r="D2317" s="185"/>
    </row>
    <row r="2318" spans="1:5">
      <c r="A2318" s="184" t="s">
        <v>549</v>
      </c>
      <c r="B2318" s="424">
        <f>'BANG LUONG 1'!$P$2</f>
        <v>43702</v>
      </c>
    </row>
    <row r="2319" spans="1:5">
      <c r="A2319" s="183" t="s">
        <v>1</v>
      </c>
      <c r="B2319" s="185" t="s">
        <v>157</v>
      </c>
      <c r="C2319" s="421">
        <v>1</v>
      </c>
      <c r="D2319" s="41"/>
    </row>
    <row r="2320" spans="1:5">
      <c r="A2320" s="183" t="s">
        <v>2</v>
      </c>
      <c r="B2320" s="185" t="e">
        <f>VLOOKUP($B2319,'BANG LUONG 1'!$B$5:$AB$50,C2320,0)</f>
        <v>#N/A</v>
      </c>
      <c r="C2320" s="421">
        <v>2</v>
      </c>
      <c r="D2320" s="41"/>
    </row>
    <row r="2321" spans="1:5">
      <c r="A2321" s="421" t="s">
        <v>3</v>
      </c>
      <c r="B2321" s="41" t="e">
        <f>VLOOKUP($B2319,'BANG LUONG 1'!$B$5:$AJ$47,C2321,0)</f>
        <v>#N/A</v>
      </c>
      <c r="C2321" s="421">
        <v>3</v>
      </c>
      <c r="D2321" s="41"/>
    </row>
    <row r="2322" spans="1:5">
      <c r="A2322" s="421" t="s">
        <v>376</v>
      </c>
      <c r="B2322" s="410" t="e">
        <f>VLOOKUP($B2319,'BANG LUONG 1'!$B$4:$AJ$55,4,0)</f>
        <v>#N/A</v>
      </c>
      <c r="C2322" s="421">
        <v>4</v>
      </c>
      <c r="D2322" s="41"/>
    </row>
    <row r="2323" spans="1:5">
      <c r="A2323" s="421" t="s">
        <v>698</v>
      </c>
      <c r="B2323" s="411" t="e">
        <f>VLOOKUP(B2319,'BANG LUONG 1'!$B$4:$AJ$55,6,0)</f>
        <v>#N/A</v>
      </c>
      <c r="C2323" s="421">
        <v>5</v>
      </c>
      <c r="D2323" s="41"/>
    </row>
    <row r="2324" spans="1:5">
      <c r="A2324" s="421" t="s">
        <v>229</v>
      </c>
      <c r="B2324" s="412">
        <f>'thang luong moi'!$F$5</f>
        <v>4012500</v>
      </c>
      <c r="C2324" s="421">
        <v>6</v>
      </c>
      <c r="D2324" s="41"/>
    </row>
    <row r="2325" spans="1:5">
      <c r="A2325" s="421" t="s">
        <v>217</v>
      </c>
      <c r="B2325" s="412" t="e">
        <f>VLOOKUP(B2319,'BANG LUONG 1'!$B$4:$AJ$55,8,0)</f>
        <v>#N/A</v>
      </c>
      <c r="C2325" s="421">
        <v>7</v>
      </c>
      <c r="D2325" s="41"/>
    </row>
    <row r="2326" spans="1:5">
      <c r="A2326" s="421" t="s">
        <v>230</v>
      </c>
      <c r="B2326" s="412" t="e">
        <f>VLOOKUP(B2319,'BANG LUONG 1'!$B$4:$AJ$55,9,0)</f>
        <v>#N/A</v>
      </c>
      <c r="C2326" s="421">
        <v>8</v>
      </c>
      <c r="D2326" s="41"/>
    </row>
    <row r="2327" spans="1:5">
      <c r="A2327" s="421" t="s">
        <v>538</v>
      </c>
      <c r="B2327" s="412" t="e">
        <f>VLOOKUP(B2319,'BANG LUONG 1'!$B$4:$AJ$55,11,0)</f>
        <v>#N/A</v>
      </c>
      <c r="C2327" s="421">
        <v>9</v>
      </c>
      <c r="D2327" s="41"/>
    </row>
    <row r="2328" spans="1:5">
      <c r="A2328" s="421" t="s">
        <v>354</v>
      </c>
      <c r="B2328" s="412" t="e">
        <f>VLOOKUP(B2319,'BANG LUONG 1'!$B$4:$AJ$55,12,0)</f>
        <v>#N/A</v>
      </c>
      <c r="C2328" s="421">
        <v>10</v>
      </c>
      <c r="D2328" s="41"/>
    </row>
    <row r="2329" spans="1:5">
      <c r="A2329" s="421" t="s">
        <v>534</v>
      </c>
      <c r="B2329" s="412" t="e">
        <f>VLOOKUP(B2319,'BANG LUONG 1'!$B$4:$AJ$55,13,0)</f>
        <v>#N/A</v>
      </c>
      <c r="C2329" s="421">
        <v>11</v>
      </c>
      <c r="D2329" s="41"/>
    </row>
    <row r="2330" spans="1:5">
      <c r="A2330" s="421" t="s">
        <v>592</v>
      </c>
      <c r="B2330" s="412" t="e">
        <f>VLOOKUP(B2319,'BANG LUONG 1'!$B$4:$AJ$55,14,0)</f>
        <v>#N/A</v>
      </c>
      <c r="C2330" s="421">
        <v>12</v>
      </c>
      <c r="D2330" s="41" t="e">
        <f>B2327/26*B2330</f>
        <v>#N/A</v>
      </c>
    </row>
    <row r="2331" spans="1:5">
      <c r="A2331" s="421" t="s">
        <v>357</v>
      </c>
      <c r="B2331" s="412" t="e">
        <f>VLOOKUP(B2319,'BANG LUONG 1'!$B$4:$AJ$55,15,0)</f>
        <v>#N/A</v>
      </c>
      <c r="C2331" s="421">
        <v>13</v>
      </c>
      <c r="D2331" s="41" t="e">
        <f>B2327/26/8*1.5*B2331</f>
        <v>#N/A</v>
      </c>
    </row>
    <row r="2332" spans="1:5">
      <c r="A2332" s="421" t="s">
        <v>387</v>
      </c>
      <c r="B2332" s="412" t="e">
        <f>VLOOKUP(B2319,'BANG LUONG 1'!$B$4:$AJ$55,16,0)</f>
        <v>#N/A</v>
      </c>
      <c r="C2332" s="421">
        <v>14</v>
      </c>
      <c r="D2332" s="41" t="e">
        <f>B2327/26/8*2*B2332</f>
        <v>#N/A</v>
      </c>
    </row>
    <row r="2333" spans="1:5">
      <c r="A2333" s="421" t="s">
        <v>593</v>
      </c>
      <c r="B2333" s="412" t="e">
        <f>VLOOKUP(B2319,'BANG LUONG 1'!$B$4:$AJ$55,17,0)</f>
        <v>#N/A</v>
      </c>
      <c r="C2333" s="421"/>
      <c r="D2333" s="41" t="e">
        <f>(B2327/26)*B2333</f>
        <v>#N/A</v>
      </c>
    </row>
    <row r="2334" spans="1:5">
      <c r="A2334" s="421" t="s">
        <v>388</v>
      </c>
      <c r="B2334" s="412" t="e">
        <f>VLOOKUP(B2319,'BANG LUONG 1'!$B$4:$AJ$55,18,0)</f>
        <v>#N/A</v>
      </c>
      <c r="C2334" s="421">
        <v>15</v>
      </c>
      <c r="D2334" s="41" t="e">
        <f>(B2327/26*B2334)*3</f>
        <v>#N/A</v>
      </c>
    </row>
    <row r="2335" spans="1:5">
      <c r="A2335" s="421" t="s">
        <v>533</v>
      </c>
      <c r="B2335" s="412" t="e">
        <f>VLOOKUP(B2319,'BANG LUONG 1'!$B$4:$AJ$55,19,0)</f>
        <v>#N/A</v>
      </c>
      <c r="C2335" s="183">
        <v>16</v>
      </c>
      <c r="D2335" s="185" t="e">
        <f>B2329+D2331+D2332+D2330+D2334+D2333</f>
        <v>#N/A</v>
      </c>
      <c r="E2335" s="108"/>
    </row>
    <row r="2336" spans="1:5">
      <c r="A2336" s="421" t="s">
        <v>535</v>
      </c>
      <c r="B2336" s="412" t="e">
        <f>VLOOKUP(B2319,'BANG LUONG 1'!$B$4:$AJ$55,20,0)</f>
        <v>#N/A</v>
      </c>
      <c r="C2336" s="421">
        <v>17</v>
      </c>
      <c r="D2336" s="41"/>
    </row>
    <row r="2337" spans="1:5">
      <c r="A2337" s="421" t="s">
        <v>370</v>
      </c>
      <c r="B2337" s="412" t="e">
        <f>VLOOKUP(B2319,'BANG LUONG 1'!$B$4:$AJ$55,22,0)</f>
        <v>#N/A</v>
      </c>
      <c r="C2337" s="421">
        <v>18</v>
      </c>
      <c r="D2337" s="41"/>
    </row>
    <row r="2338" spans="1:5">
      <c r="A2338" s="421" t="s">
        <v>371</v>
      </c>
      <c r="B2338" s="412" t="e">
        <f>VLOOKUP(B2319,'BANG LUONG 1'!$B$4:$AJ$55,23,0)</f>
        <v>#N/A</v>
      </c>
      <c r="C2338" s="421">
        <v>19</v>
      </c>
      <c r="D2338" s="41"/>
    </row>
    <row r="2339" spans="1:5">
      <c r="A2339" s="421" t="s">
        <v>560</v>
      </c>
      <c r="B2339" s="412" t="e">
        <f>VLOOKUP(B2319,'BANG LUONG 1'!$B$4:$AJ$55,24,0)</f>
        <v>#N/A</v>
      </c>
      <c r="C2339" s="421">
        <v>22</v>
      </c>
      <c r="D2339" s="41"/>
    </row>
    <row r="2340" spans="1:5">
      <c r="A2340" s="183" t="s">
        <v>237</v>
      </c>
      <c r="B2340" s="415" t="e">
        <f>VLOOKUP(B2319,'BANG LUONG 1'!$B$4:$AJ$55,26,0)</f>
        <v>#N/A</v>
      </c>
      <c r="C2340" s="421">
        <v>24</v>
      </c>
      <c r="D2340" s="41"/>
    </row>
    <row r="2341" spans="1:5">
      <c r="A2341" s="421" t="s">
        <v>545</v>
      </c>
      <c r="B2341" s="412" t="e">
        <f>VLOOKUP(B2319,'BANG LUONG 1'!$B$4:$AJ$55,27,0)</f>
        <v>#N/A</v>
      </c>
      <c r="C2341" s="421">
        <v>25</v>
      </c>
      <c r="D2341" s="41"/>
    </row>
    <row r="2342" spans="1:5">
      <c r="A2342" s="421" t="s">
        <v>544</v>
      </c>
      <c r="B2342" s="412" t="e">
        <f>VLOOKUP(B2319,'BANG LUONG 1'!$B$4:$AJ$55,28,0)</f>
        <v>#N/A</v>
      </c>
      <c r="C2342" s="421">
        <v>26</v>
      </c>
      <c r="D2342" s="41"/>
    </row>
    <row r="2343" spans="1:5">
      <c r="A2343" s="421" t="s">
        <v>713</v>
      </c>
      <c r="B2343" s="415" t="e">
        <f>VLOOKUP(B2319,'BANG LUONG 1'!$B$4:$AJ$55,32,0)</f>
        <v>#N/A</v>
      </c>
      <c r="C2343" s="421"/>
      <c r="D2343" s="41"/>
    </row>
    <row r="2344" spans="1:5">
      <c r="A2344" s="421" t="s">
        <v>714</v>
      </c>
      <c r="B2344" s="415" t="e">
        <f>VLOOKUP(B2319,'BANG LUONG 1'!$B$4:$AJ$55,33,0)</f>
        <v>#N/A</v>
      </c>
      <c r="C2344" s="421"/>
      <c r="D2344" s="41"/>
    </row>
    <row r="2345" spans="1:5">
      <c r="A2345" s="183" t="s">
        <v>707</v>
      </c>
      <c r="B2345" s="415" t="e">
        <f>VLOOKUP(B2319,'BANG LUONG 1'!$B$4:$AJ$55,34,0)</f>
        <v>#N/A</v>
      </c>
      <c r="C2345" s="421"/>
      <c r="D2345" s="41"/>
      <c r="E2345" s="108" t="e">
        <f>B2320</f>
        <v>#N/A</v>
      </c>
    </row>
    <row r="2346" spans="1:5">
      <c r="A2346" s="183" t="s">
        <v>546</v>
      </c>
      <c r="B2346" s="415" t="e">
        <f>VLOOKUP(B2319,'BANG LUONG 1'!$B$4:$AJ$55,35,0)</f>
        <v>#N/A</v>
      </c>
      <c r="C2346" s="421"/>
      <c r="D2346" s="41"/>
    </row>
    <row r="2347" spans="1:5">
      <c r="A2347" s="183"/>
      <c r="B2347" s="412"/>
      <c r="C2347" s="421">
        <v>27</v>
      </c>
      <c r="D2347" s="185"/>
    </row>
    <row r="2348" spans="1:5">
      <c r="A2348" s="184" t="s">
        <v>549</v>
      </c>
      <c r="B2348" s="424">
        <f>'BANG LUONG 1'!$P$2</f>
        <v>43702</v>
      </c>
    </row>
    <row r="2349" spans="1:5">
      <c r="A2349" s="183" t="s">
        <v>1</v>
      </c>
      <c r="B2349" s="185" t="s">
        <v>158</v>
      </c>
      <c r="C2349" s="421">
        <v>1</v>
      </c>
      <c r="D2349" s="41"/>
    </row>
    <row r="2350" spans="1:5">
      <c r="A2350" s="183" t="s">
        <v>2</v>
      </c>
      <c r="B2350" s="185" t="str">
        <f>VLOOKUP($B2349,'BANG LUONG 1'!$B$5:$AB$50,C2350,0)</f>
        <v>Bùi Văn Ây</v>
      </c>
      <c r="C2350" s="421">
        <v>2</v>
      </c>
      <c r="D2350" s="41"/>
    </row>
    <row r="2351" spans="1:5">
      <c r="A2351" s="421" t="s">
        <v>3</v>
      </c>
      <c r="B2351" s="41" t="str">
        <f>VLOOKUP($B2349,'BANG LUONG 1'!$B$5:$AJ$47,C2351,0)</f>
        <v xml:space="preserve">Công nhân </v>
      </c>
      <c r="C2351" s="421">
        <v>3</v>
      </c>
      <c r="D2351" s="41"/>
    </row>
    <row r="2352" spans="1:5">
      <c r="A2352" s="421" t="s">
        <v>376</v>
      </c>
      <c r="B2352" s="410">
        <f>VLOOKUP($B2349,'BANG LUONG 1'!$B$4:$AJ$55,4,0)</f>
        <v>43458</v>
      </c>
      <c r="C2352" s="421">
        <v>4</v>
      </c>
      <c r="D2352" s="41"/>
    </row>
    <row r="2353" spans="1:5">
      <c r="A2353" s="421" t="s">
        <v>698</v>
      </c>
      <c r="B2353" s="411">
        <f>VLOOKUP(B2349,'BANG LUONG 1'!$B$4:$AJ$55,6,0)</f>
        <v>0</v>
      </c>
      <c r="C2353" s="421">
        <v>5</v>
      </c>
      <c r="D2353" s="41"/>
    </row>
    <row r="2354" spans="1:5">
      <c r="A2354" s="421" t="s">
        <v>229</v>
      </c>
      <c r="B2354" s="412">
        <f>'thang luong moi'!$F$5</f>
        <v>4012500</v>
      </c>
      <c r="C2354" s="421">
        <v>6</v>
      </c>
      <c r="D2354" s="41"/>
    </row>
    <row r="2355" spans="1:5">
      <c r="A2355" s="421" t="s">
        <v>217</v>
      </c>
      <c r="B2355" s="412" t="str">
        <f>VLOOKUP(B2349,'BANG LUONG 1'!$B$4:$AJ$55,8,0)</f>
        <v>B.05</v>
      </c>
      <c r="C2355" s="421">
        <v>7</v>
      </c>
      <c r="D2355" s="41"/>
    </row>
    <row r="2356" spans="1:5">
      <c r="A2356" s="421" t="s">
        <v>230</v>
      </c>
      <c r="B2356" s="412">
        <f>VLOOKUP(B2349,'BANG LUONG 1'!$B$4:$AJ$55,9,0)</f>
        <v>1</v>
      </c>
      <c r="C2356" s="421">
        <v>8</v>
      </c>
      <c r="D2356" s="41"/>
    </row>
    <row r="2357" spans="1:5">
      <c r="A2357" s="421" t="s">
        <v>538</v>
      </c>
      <c r="B2357" s="412">
        <f>VLOOKUP(B2349,'BANG LUONG 1'!$B$4:$AJ$55,11,0)</f>
        <v>4213125</v>
      </c>
      <c r="C2357" s="421">
        <v>9</v>
      </c>
      <c r="D2357" s="41"/>
    </row>
    <row r="2358" spans="1:5">
      <c r="A2358" s="421" t="s">
        <v>354</v>
      </c>
      <c r="B2358" s="412">
        <f>VLOOKUP(B2349,'BANG LUONG 1'!$B$4:$AJ$55,12,0)</f>
        <v>27</v>
      </c>
      <c r="C2358" s="421">
        <v>10</v>
      </c>
      <c r="D2358" s="41"/>
    </row>
    <row r="2359" spans="1:5">
      <c r="A2359" s="421" t="s">
        <v>534</v>
      </c>
      <c r="B2359" s="412">
        <f>VLOOKUP(B2349,'BANG LUONG 1'!$B$4:$AJ$55,13,0)</f>
        <v>4375168.269230769</v>
      </c>
      <c r="C2359" s="421">
        <v>11</v>
      </c>
      <c r="D2359" s="41"/>
    </row>
    <row r="2360" spans="1:5">
      <c r="A2360" s="421" t="s">
        <v>592</v>
      </c>
      <c r="B2360" s="412">
        <f>VLOOKUP(B2349,'BANG LUONG 1'!$B$4:$AJ$55,14,0)</f>
        <v>0</v>
      </c>
      <c r="C2360" s="421">
        <v>12</v>
      </c>
      <c r="D2360" s="41">
        <f>B2357/26*B2360</f>
        <v>0</v>
      </c>
    </row>
    <row r="2361" spans="1:5">
      <c r="A2361" s="421" t="s">
        <v>357</v>
      </c>
      <c r="B2361" s="412">
        <f>VLOOKUP(B2349,'BANG LUONG 1'!$B$4:$AJ$55,15,0)</f>
        <v>0</v>
      </c>
      <c r="C2361" s="421">
        <v>13</v>
      </c>
      <c r="D2361" s="41">
        <f>B2357/26/8*1.5*B2361</f>
        <v>0</v>
      </c>
    </row>
    <row r="2362" spans="1:5">
      <c r="A2362" s="421" t="s">
        <v>387</v>
      </c>
      <c r="B2362" s="412">
        <f>VLOOKUP(B2349,'BANG LUONG 1'!$B$4:$AJ$55,16,0)</f>
        <v>0</v>
      </c>
      <c r="C2362" s="421">
        <v>14</v>
      </c>
      <c r="D2362" s="41">
        <f>B2357/26/8*2*B2362</f>
        <v>0</v>
      </c>
    </row>
    <row r="2363" spans="1:5">
      <c r="A2363" s="421" t="s">
        <v>593</v>
      </c>
      <c r="B2363" s="412">
        <f>VLOOKUP(B2349,'BANG LUONG 1'!$B$4:$AJ$55,17,0)</f>
        <v>0</v>
      </c>
      <c r="C2363" s="421"/>
      <c r="D2363" s="41">
        <f>(B2357/26)*B2363</f>
        <v>0</v>
      </c>
    </row>
    <row r="2364" spans="1:5">
      <c r="A2364" s="421" t="s">
        <v>388</v>
      </c>
      <c r="B2364" s="412">
        <f>VLOOKUP(B2349,'BANG LUONG 1'!$B$4:$AJ$55,18,0)</f>
        <v>0</v>
      </c>
      <c r="C2364" s="421">
        <v>15</v>
      </c>
      <c r="D2364" s="41">
        <f>(B2357/26*B2364)*3</f>
        <v>0</v>
      </c>
    </row>
    <row r="2365" spans="1:5">
      <c r="A2365" s="421" t="s">
        <v>533</v>
      </c>
      <c r="B2365" s="412">
        <f>VLOOKUP(B2349,'BANG LUONG 1'!$B$4:$AJ$55,19,0)</f>
        <v>4375168.269230769</v>
      </c>
      <c r="C2365" s="183">
        <v>16</v>
      </c>
      <c r="D2365" s="185">
        <f>B2359+D2361+D2362+D2360+D2364+D2363</f>
        <v>4375168.269230769</v>
      </c>
      <c r="E2365" s="108"/>
    </row>
    <row r="2366" spans="1:5">
      <c r="A2366" s="421" t="s">
        <v>535</v>
      </c>
      <c r="B2366" s="412">
        <f>VLOOKUP(B2349,'BANG LUONG 1'!$B$4:$AJ$55,20,0)</f>
        <v>-4375168.269230769</v>
      </c>
      <c r="C2366" s="421">
        <v>17</v>
      </c>
      <c r="D2366" s="41"/>
    </row>
    <row r="2367" spans="1:5">
      <c r="A2367" s="421" t="s">
        <v>370</v>
      </c>
      <c r="B2367" s="412">
        <f>VLOOKUP(B2349,'BANG LUONG 1'!$B$4:$AJ$55,22,0)</f>
        <v>0</v>
      </c>
      <c r="C2367" s="421">
        <v>18</v>
      </c>
      <c r="D2367" s="41"/>
    </row>
    <row r="2368" spans="1:5">
      <c r="A2368" s="421" t="s">
        <v>371</v>
      </c>
      <c r="B2368" s="412">
        <f>VLOOKUP(B2349,'BANG LUONG 1'!$B$4:$AJ$55,23,0)</f>
        <v>300000</v>
      </c>
      <c r="C2368" s="421">
        <v>19</v>
      </c>
      <c r="D2368" s="41"/>
    </row>
    <row r="2369" spans="1:5">
      <c r="A2369" s="421" t="s">
        <v>560</v>
      </c>
      <c r="B2369" s="412">
        <f>VLOOKUP(B2349,'BANG LUONG 1'!$B$4:$AJ$55,24,0)</f>
        <v>0</v>
      </c>
      <c r="C2369" s="421">
        <v>22</v>
      </c>
      <c r="D2369" s="41"/>
    </row>
    <row r="2370" spans="1:5">
      <c r="A2370" s="183" t="s">
        <v>237</v>
      </c>
      <c r="B2370" s="415">
        <f>VLOOKUP(B2349,'BANG LUONG 1'!$B$4:$AJ$55,26,0)</f>
        <v>300000</v>
      </c>
      <c r="C2370" s="421">
        <v>24</v>
      </c>
      <c r="D2370" s="41"/>
    </row>
    <row r="2371" spans="1:5">
      <c r="A2371" s="421" t="s">
        <v>545</v>
      </c>
      <c r="B2371" s="412">
        <f>VLOOKUP(B2349,'BANG LUONG 1'!$B$4:$AJ$55,27,0)</f>
        <v>4000000</v>
      </c>
      <c r="C2371" s="421">
        <v>25</v>
      </c>
      <c r="D2371" s="41"/>
    </row>
    <row r="2372" spans="1:5">
      <c r="A2372" s="421" t="s">
        <v>544</v>
      </c>
      <c r="B2372" s="412">
        <f>VLOOKUP(B2349,'BANG LUONG 1'!$B$4:$AJ$55,28,0)</f>
        <v>0</v>
      </c>
      <c r="C2372" s="421">
        <v>26</v>
      </c>
      <c r="D2372" s="41"/>
    </row>
    <row r="2373" spans="1:5">
      <c r="A2373" s="421" t="s">
        <v>713</v>
      </c>
      <c r="B2373" s="415">
        <f>VLOOKUP(B2349,'BANG LUONG 1'!$B$4:$AJ$55,32,0)</f>
        <v>0</v>
      </c>
      <c r="C2373" s="421"/>
      <c r="D2373" s="41"/>
    </row>
    <row r="2374" spans="1:5">
      <c r="A2374" s="421" t="s">
        <v>714</v>
      </c>
      <c r="B2374" s="415">
        <f>VLOOKUP(B2349,'BANG LUONG 1'!$B$4:$AJ$55,33,0)</f>
        <v>0</v>
      </c>
      <c r="C2374" s="421"/>
      <c r="D2374" s="41"/>
    </row>
    <row r="2375" spans="1:5">
      <c r="A2375" s="183" t="s">
        <v>707</v>
      </c>
      <c r="B2375" s="415">
        <f>VLOOKUP(B2349,'BANG LUONG 1'!$B$4:$AJ$55,34,0)</f>
        <v>0</v>
      </c>
      <c r="C2375" s="421"/>
      <c r="D2375" s="41"/>
      <c r="E2375" s="108" t="str">
        <f>B2350</f>
        <v>Bùi Văn Ây</v>
      </c>
    </row>
    <row r="2376" spans="1:5">
      <c r="A2376" s="183" t="s">
        <v>546</v>
      </c>
      <c r="B2376" s="415">
        <f>VLOOKUP(B2349,'BANG LUONG 1'!$B$4:$AJ$55,35,0)</f>
        <v>-3700000</v>
      </c>
      <c r="C2376" s="421"/>
      <c r="D2376" s="41"/>
    </row>
    <row r="2377" spans="1:5">
      <c r="A2377" s="183"/>
      <c r="B2377" s="412"/>
      <c r="C2377" s="421">
        <v>27</v>
      </c>
      <c r="D2377" s="185"/>
    </row>
    <row r="2378" spans="1:5">
      <c r="A2378" s="184" t="s">
        <v>549</v>
      </c>
      <c r="B2378" s="424">
        <f>'BANG LUONG 1'!$P$2</f>
        <v>43702</v>
      </c>
    </row>
    <row r="2379" spans="1:5">
      <c r="A2379" s="183" t="s">
        <v>1</v>
      </c>
      <c r="B2379" s="185" t="s">
        <v>158</v>
      </c>
      <c r="C2379" s="421">
        <v>1</v>
      </c>
      <c r="D2379" s="41"/>
    </row>
    <row r="2380" spans="1:5">
      <c r="A2380" s="183" t="s">
        <v>2</v>
      </c>
      <c r="B2380" s="185" t="str">
        <f>VLOOKUP($B2379,'BANG LUONG 1'!$B$5:$AB$50,C2380,0)</f>
        <v>Bùi Văn Ây</v>
      </c>
      <c r="C2380" s="421">
        <v>2</v>
      </c>
      <c r="D2380" s="41"/>
    </row>
    <row r="2381" spans="1:5">
      <c r="A2381" s="421" t="s">
        <v>3</v>
      </c>
      <c r="B2381" s="41" t="str">
        <f>VLOOKUP($B2379,'BANG LUONG 1'!$B$5:$AJ$47,C2381,0)</f>
        <v xml:space="preserve">Công nhân </v>
      </c>
      <c r="C2381" s="421">
        <v>3</v>
      </c>
      <c r="D2381" s="41"/>
    </row>
    <row r="2382" spans="1:5">
      <c r="A2382" s="421" t="s">
        <v>376</v>
      </c>
      <c r="B2382" s="410">
        <f>VLOOKUP($B2379,'BANG LUONG 1'!$B$4:$AJ$55,4,0)</f>
        <v>43458</v>
      </c>
      <c r="C2382" s="421">
        <v>4</v>
      </c>
      <c r="D2382" s="41"/>
    </row>
    <row r="2383" spans="1:5">
      <c r="A2383" s="421" t="s">
        <v>698</v>
      </c>
      <c r="B2383" s="411">
        <f>VLOOKUP(B2379,'BANG LUONG 1'!$B$4:$AJ$55,6,0)</f>
        <v>0</v>
      </c>
      <c r="C2383" s="421">
        <v>5</v>
      </c>
      <c r="D2383" s="41"/>
    </row>
    <row r="2384" spans="1:5">
      <c r="A2384" s="421" t="s">
        <v>229</v>
      </c>
      <c r="B2384" s="412">
        <f>'thang luong moi'!$F$5</f>
        <v>4012500</v>
      </c>
      <c r="C2384" s="421">
        <v>6</v>
      </c>
      <c r="D2384" s="41"/>
    </row>
    <row r="2385" spans="1:5">
      <c r="A2385" s="421" t="s">
        <v>217</v>
      </c>
      <c r="B2385" s="412" t="str">
        <f>VLOOKUP(B2379,'BANG LUONG 1'!$B$4:$AJ$55,8,0)</f>
        <v>B.05</v>
      </c>
      <c r="C2385" s="421">
        <v>7</v>
      </c>
      <c r="D2385" s="41"/>
    </row>
    <row r="2386" spans="1:5">
      <c r="A2386" s="421" t="s">
        <v>230</v>
      </c>
      <c r="B2386" s="412">
        <f>VLOOKUP(B2379,'BANG LUONG 1'!$B$4:$AJ$55,9,0)</f>
        <v>1</v>
      </c>
      <c r="C2386" s="421">
        <v>8</v>
      </c>
      <c r="D2386" s="41"/>
    </row>
    <row r="2387" spans="1:5">
      <c r="A2387" s="421" t="s">
        <v>538</v>
      </c>
      <c r="B2387" s="412">
        <f>VLOOKUP(B2379,'BANG LUONG 1'!$B$4:$AJ$55,11,0)</f>
        <v>4213125</v>
      </c>
      <c r="C2387" s="421">
        <v>9</v>
      </c>
      <c r="D2387" s="41"/>
    </row>
    <row r="2388" spans="1:5">
      <c r="A2388" s="421" t="s">
        <v>354</v>
      </c>
      <c r="B2388" s="412">
        <f>VLOOKUP(B2379,'BANG LUONG 1'!$B$4:$AJ$55,12,0)</f>
        <v>27</v>
      </c>
      <c r="C2388" s="421">
        <v>10</v>
      </c>
      <c r="D2388" s="41"/>
    </row>
    <row r="2389" spans="1:5">
      <c r="A2389" s="421" t="s">
        <v>534</v>
      </c>
      <c r="B2389" s="412">
        <f>VLOOKUP(B2379,'BANG LUONG 1'!$B$4:$AJ$55,13,0)</f>
        <v>4375168.269230769</v>
      </c>
      <c r="C2389" s="421">
        <v>11</v>
      </c>
      <c r="D2389" s="41"/>
    </row>
    <row r="2390" spans="1:5">
      <c r="A2390" s="421" t="s">
        <v>592</v>
      </c>
      <c r="B2390" s="412">
        <f>VLOOKUP(B2379,'BANG LUONG 1'!$B$4:$AJ$55,14,0)</f>
        <v>0</v>
      </c>
      <c r="C2390" s="421">
        <v>12</v>
      </c>
      <c r="D2390" s="41">
        <f>B2387/26*B2390</f>
        <v>0</v>
      </c>
    </row>
    <row r="2391" spans="1:5">
      <c r="A2391" s="421" t="s">
        <v>357</v>
      </c>
      <c r="B2391" s="412">
        <f>VLOOKUP(B2379,'BANG LUONG 1'!$B$4:$AJ$55,15,0)</f>
        <v>0</v>
      </c>
      <c r="C2391" s="421">
        <v>13</v>
      </c>
      <c r="D2391" s="41">
        <f>B2387/26/8*1.5*B2391</f>
        <v>0</v>
      </c>
    </row>
    <row r="2392" spans="1:5">
      <c r="A2392" s="421" t="s">
        <v>387</v>
      </c>
      <c r="B2392" s="412">
        <f>VLOOKUP(B2379,'BANG LUONG 1'!$B$4:$AJ$55,16,0)</f>
        <v>0</v>
      </c>
      <c r="C2392" s="421">
        <v>14</v>
      </c>
      <c r="D2392" s="41">
        <f>B2387/26/8*2*B2392</f>
        <v>0</v>
      </c>
    </row>
    <row r="2393" spans="1:5">
      <c r="A2393" s="421" t="s">
        <v>593</v>
      </c>
      <c r="B2393" s="412">
        <f>VLOOKUP(B2379,'BANG LUONG 1'!$B$4:$AJ$55,17,0)</f>
        <v>0</v>
      </c>
      <c r="C2393" s="421"/>
      <c r="D2393" s="41">
        <f>(B2387/26)*B2393</f>
        <v>0</v>
      </c>
    </row>
    <row r="2394" spans="1:5">
      <c r="A2394" s="421" t="s">
        <v>388</v>
      </c>
      <c r="B2394" s="412">
        <f>VLOOKUP(B2379,'BANG LUONG 1'!$B$4:$AJ$55,18,0)</f>
        <v>0</v>
      </c>
      <c r="C2394" s="421">
        <v>15</v>
      </c>
      <c r="D2394" s="41">
        <f>(B2387/26*B2394)*3</f>
        <v>0</v>
      </c>
    </row>
    <row r="2395" spans="1:5">
      <c r="A2395" s="421" t="s">
        <v>533</v>
      </c>
      <c r="B2395" s="412">
        <f>VLOOKUP(B2379,'BANG LUONG 1'!$B$4:$AJ$55,19,0)</f>
        <v>4375168.269230769</v>
      </c>
      <c r="C2395" s="183">
        <v>16</v>
      </c>
      <c r="D2395" s="185">
        <f>B2389+D2391+D2392+D2390+D2394+D2393</f>
        <v>4375168.269230769</v>
      </c>
      <c r="E2395" s="108"/>
    </row>
    <row r="2396" spans="1:5">
      <c r="A2396" s="421" t="s">
        <v>535</v>
      </c>
      <c r="B2396" s="412">
        <f>VLOOKUP(B2379,'BANG LUONG 1'!$B$4:$AJ$55,20,0)</f>
        <v>-4375168.269230769</v>
      </c>
      <c r="C2396" s="421">
        <v>17</v>
      </c>
      <c r="D2396" s="41"/>
    </row>
    <row r="2397" spans="1:5">
      <c r="A2397" s="421" t="s">
        <v>370</v>
      </c>
      <c r="B2397" s="412">
        <f>VLOOKUP(B2379,'BANG LUONG 1'!$B$4:$AJ$55,22,0)</f>
        <v>0</v>
      </c>
      <c r="C2397" s="421">
        <v>18</v>
      </c>
      <c r="D2397" s="41"/>
    </row>
    <row r="2398" spans="1:5">
      <c r="A2398" s="421" t="s">
        <v>371</v>
      </c>
      <c r="B2398" s="412">
        <f>VLOOKUP(B2379,'BANG LUONG 1'!$B$4:$AJ$55,23,0)</f>
        <v>300000</v>
      </c>
      <c r="C2398" s="421">
        <v>19</v>
      </c>
      <c r="D2398" s="41"/>
    </row>
    <row r="2399" spans="1:5">
      <c r="A2399" s="421" t="s">
        <v>560</v>
      </c>
      <c r="B2399" s="412">
        <f>VLOOKUP(B2379,'BANG LUONG 1'!$B$4:$AJ$55,24,0)</f>
        <v>0</v>
      </c>
      <c r="C2399" s="421">
        <v>22</v>
      </c>
      <c r="D2399" s="41"/>
    </row>
    <row r="2400" spans="1:5">
      <c r="A2400" s="183" t="s">
        <v>237</v>
      </c>
      <c r="B2400" s="415">
        <f>VLOOKUP(B2379,'BANG LUONG 1'!$B$4:$AJ$55,26,0)</f>
        <v>300000</v>
      </c>
      <c r="C2400" s="421">
        <v>24</v>
      </c>
      <c r="D2400" s="41"/>
    </row>
    <row r="2401" spans="1:5">
      <c r="A2401" s="421" t="s">
        <v>545</v>
      </c>
      <c r="B2401" s="412">
        <f>VLOOKUP(B2379,'BANG LUONG 1'!$B$4:$AJ$55,27,0)</f>
        <v>4000000</v>
      </c>
      <c r="C2401" s="421">
        <v>25</v>
      </c>
      <c r="D2401" s="41"/>
    </row>
    <row r="2402" spans="1:5">
      <c r="A2402" s="421" t="s">
        <v>544</v>
      </c>
      <c r="B2402" s="412">
        <f>VLOOKUP(B2379,'BANG LUONG 1'!$B$4:$AJ$55,28,0)</f>
        <v>0</v>
      </c>
      <c r="C2402" s="421">
        <v>26</v>
      </c>
      <c r="D2402" s="41"/>
    </row>
    <row r="2403" spans="1:5">
      <c r="A2403" s="421" t="s">
        <v>713</v>
      </c>
      <c r="B2403" s="415">
        <f>VLOOKUP(B2379,'BANG LUONG 1'!$B$4:$AJ$55,32,0)</f>
        <v>0</v>
      </c>
      <c r="C2403" s="421"/>
      <c r="D2403" s="41"/>
    </row>
    <row r="2404" spans="1:5">
      <c r="A2404" s="421" t="s">
        <v>714</v>
      </c>
      <c r="B2404" s="415">
        <f>VLOOKUP(B2379,'BANG LUONG 1'!$B$4:$AJ$55,33,0)</f>
        <v>0</v>
      </c>
      <c r="C2404" s="421"/>
      <c r="D2404" s="41"/>
    </row>
    <row r="2405" spans="1:5">
      <c r="A2405" s="183" t="s">
        <v>707</v>
      </c>
      <c r="B2405" s="415">
        <f>VLOOKUP(B2379,'BANG LUONG 1'!$B$4:$AJ$55,34,0)</f>
        <v>0</v>
      </c>
      <c r="C2405" s="421"/>
      <c r="D2405" s="41"/>
      <c r="E2405" s="108" t="str">
        <f>B2380</f>
        <v>Bùi Văn Ây</v>
      </c>
    </row>
    <row r="2406" spans="1:5">
      <c r="A2406" s="183" t="s">
        <v>546</v>
      </c>
      <c r="B2406" s="415">
        <f>VLOOKUP(B2379,'BANG LUONG 1'!$B$4:$AJ$55,35,0)</f>
        <v>-3700000</v>
      </c>
      <c r="C2406" s="421"/>
      <c r="D2406" s="41"/>
    </row>
    <row r="2407" spans="1:5">
      <c r="A2407" s="184" t="s">
        <v>549</v>
      </c>
      <c r="B2407" s="424">
        <f>'BANG LUONG 1'!$P$2</f>
        <v>43702</v>
      </c>
    </row>
    <row r="2408" spans="1:5">
      <c r="A2408" s="183" t="s">
        <v>1</v>
      </c>
      <c r="B2408" s="185" t="s">
        <v>159</v>
      </c>
      <c r="C2408" s="421">
        <v>1</v>
      </c>
      <c r="D2408" s="41"/>
    </row>
    <row r="2409" spans="1:5">
      <c r="A2409" s="183" t="s">
        <v>2</v>
      </c>
      <c r="B2409" s="185" t="str">
        <f>VLOOKUP($B2408,'BANG LUONG 1'!$B$5:$AB$50,C2409,0)</f>
        <v>Ngô Đình Chung</v>
      </c>
      <c r="C2409" s="421">
        <v>2</v>
      </c>
      <c r="D2409" s="41"/>
    </row>
    <row r="2410" spans="1:5">
      <c r="A2410" s="421" t="s">
        <v>3</v>
      </c>
      <c r="B2410" s="41" t="e">
        <f>VLOOKUP($B2408,'BANG LUONG 1'!$B$5:$AJ$47,C2410,0)</f>
        <v>#N/A</v>
      </c>
      <c r="C2410" s="421">
        <v>3</v>
      </c>
      <c r="D2410" s="41"/>
    </row>
    <row r="2411" spans="1:5">
      <c r="A2411" s="421" t="s">
        <v>376</v>
      </c>
      <c r="B2411" s="410">
        <f>VLOOKUP($B2408,'BANG LUONG 1'!$B$4:$AJ$55,4,0)</f>
        <v>42086</v>
      </c>
      <c r="C2411" s="421">
        <v>4</v>
      </c>
      <c r="D2411" s="41"/>
    </row>
    <row r="2412" spans="1:5">
      <c r="A2412" s="421" t="s">
        <v>698</v>
      </c>
      <c r="B2412" s="411">
        <f>VLOOKUP(B2408,'BANG LUONG 1'!$B$4:$AJ$55,6,0)</f>
        <v>0.04</v>
      </c>
      <c r="C2412" s="421">
        <v>5</v>
      </c>
      <c r="D2412" s="41"/>
    </row>
    <row r="2413" spans="1:5">
      <c r="A2413" s="421" t="s">
        <v>229</v>
      </c>
      <c r="B2413" s="412">
        <f>'thang luong moi'!$F$5</f>
        <v>4012500</v>
      </c>
      <c r="C2413" s="421">
        <v>6</v>
      </c>
      <c r="D2413" s="41"/>
    </row>
    <row r="2414" spans="1:5">
      <c r="A2414" s="421" t="s">
        <v>217</v>
      </c>
      <c r="B2414" s="412" t="str">
        <f>VLOOKUP(B2408,'BANG LUONG 1'!$B$4:$AJ$55,8,0)</f>
        <v>B.01</v>
      </c>
      <c r="C2414" s="421">
        <v>7</v>
      </c>
      <c r="D2414" s="41"/>
    </row>
    <row r="2415" spans="1:5">
      <c r="A2415" s="421" t="s">
        <v>230</v>
      </c>
      <c r="B2415" s="412">
        <f>VLOOKUP(B2408,'BANG LUONG 1'!$B$4:$AJ$55,9,0)</f>
        <v>1</v>
      </c>
      <c r="C2415" s="421">
        <v>8</v>
      </c>
      <c r="D2415" s="41"/>
    </row>
    <row r="2416" spans="1:5">
      <c r="A2416" s="421" t="s">
        <v>538</v>
      </c>
      <c r="B2416" s="412">
        <f>VLOOKUP(B2408,'BANG LUONG 1'!$B$4:$AJ$55,11,0)</f>
        <v>4381650</v>
      </c>
      <c r="C2416" s="421">
        <v>9</v>
      </c>
      <c r="D2416" s="41"/>
    </row>
    <row r="2417" spans="1:5">
      <c r="A2417" s="421" t="s">
        <v>354</v>
      </c>
      <c r="B2417" s="412">
        <f>VLOOKUP(B2408,'BANG LUONG 1'!$B$4:$AJ$55,12,0)</f>
        <v>27</v>
      </c>
      <c r="C2417" s="421">
        <v>10</v>
      </c>
      <c r="D2417" s="41"/>
    </row>
    <row r="2418" spans="1:5">
      <c r="A2418" s="421" t="s">
        <v>534</v>
      </c>
      <c r="B2418" s="412">
        <f>VLOOKUP(B2408,'BANG LUONG 1'!$B$4:$AJ$55,13,0)</f>
        <v>4550175</v>
      </c>
      <c r="C2418" s="421">
        <v>11</v>
      </c>
      <c r="D2418" s="41"/>
    </row>
    <row r="2419" spans="1:5">
      <c r="A2419" s="421" t="s">
        <v>592</v>
      </c>
      <c r="B2419" s="412">
        <f>VLOOKUP(B2408,'BANG LUONG 1'!$B$4:$AJ$55,14,0)</f>
        <v>0</v>
      </c>
      <c r="C2419" s="421">
        <v>12</v>
      </c>
      <c r="D2419" s="41">
        <f>B2416/26*B2419</f>
        <v>0</v>
      </c>
    </row>
    <row r="2420" spans="1:5">
      <c r="A2420" s="421" t="s">
        <v>357</v>
      </c>
      <c r="B2420" s="412">
        <f>VLOOKUP(B2408,'BANG LUONG 1'!$B$4:$AJ$55,15,0)</f>
        <v>0</v>
      </c>
      <c r="C2420" s="421">
        <v>13</v>
      </c>
      <c r="D2420" s="41">
        <f>B2416/26/8*1.5*B2420</f>
        <v>0</v>
      </c>
    </row>
    <row r="2421" spans="1:5">
      <c r="A2421" s="421" t="s">
        <v>387</v>
      </c>
      <c r="B2421" s="412">
        <f>VLOOKUP(B2408,'BANG LUONG 1'!$B$4:$AJ$55,16,0)</f>
        <v>0</v>
      </c>
      <c r="C2421" s="421">
        <v>14</v>
      </c>
      <c r="D2421" s="41">
        <f>B2416/26/8*2*B2421</f>
        <v>0</v>
      </c>
    </row>
    <row r="2422" spans="1:5">
      <c r="A2422" s="421" t="s">
        <v>593</v>
      </c>
      <c r="B2422" s="412">
        <f>VLOOKUP(B2408,'BANG LUONG 1'!$B$4:$AJ$55,17,0)</f>
        <v>0</v>
      </c>
      <c r="C2422" s="421"/>
      <c r="D2422" s="41">
        <f>(B2416/26)*B2422</f>
        <v>0</v>
      </c>
    </row>
    <row r="2423" spans="1:5">
      <c r="A2423" s="421" t="s">
        <v>388</v>
      </c>
      <c r="B2423" s="412">
        <f>VLOOKUP(B2408,'BANG LUONG 1'!$B$4:$AJ$55,18,0)</f>
        <v>0</v>
      </c>
      <c r="C2423" s="421">
        <v>15</v>
      </c>
      <c r="D2423" s="41">
        <f>(B2416/26*B2423)*3</f>
        <v>0</v>
      </c>
    </row>
    <row r="2424" spans="1:5">
      <c r="A2424" s="421" t="s">
        <v>533</v>
      </c>
      <c r="B2424" s="412">
        <f>VLOOKUP(B2408,'BANG LUONG 1'!$B$4:$AJ$55,19,0)</f>
        <v>5380944.230769231</v>
      </c>
      <c r="C2424" s="183">
        <v>16</v>
      </c>
      <c r="D2424" s="185">
        <f>B2418+D2420+D2421+D2419+D2423+D2422</f>
        <v>4550175</v>
      </c>
      <c r="E2424" s="108"/>
    </row>
    <row r="2425" spans="1:5">
      <c r="A2425" s="421" t="s">
        <v>535</v>
      </c>
      <c r="B2425" s="412">
        <f>VLOOKUP(B2408,'BANG LUONG 1'!$B$4:$AJ$55,20,0)</f>
        <v>0</v>
      </c>
      <c r="C2425" s="421">
        <v>17</v>
      </c>
      <c r="D2425" s="41"/>
    </row>
    <row r="2426" spans="1:5">
      <c r="A2426" s="421" t="s">
        <v>370</v>
      </c>
      <c r="B2426" s="412">
        <f>VLOOKUP(B2408,'BANG LUONG 1'!$B$4:$AJ$55,22,0)</f>
        <v>175266</v>
      </c>
      <c r="C2426" s="421">
        <v>18</v>
      </c>
      <c r="D2426" s="41"/>
    </row>
    <row r="2427" spans="1:5">
      <c r="A2427" s="421" t="s">
        <v>371</v>
      </c>
      <c r="B2427" s="412">
        <f>VLOOKUP(B2408,'BANG LUONG 1'!$B$4:$AJ$55,23,0)</f>
        <v>300000</v>
      </c>
      <c r="C2427" s="421">
        <v>19</v>
      </c>
      <c r="D2427" s="41"/>
    </row>
    <row r="2428" spans="1:5">
      <c r="A2428" s="421" t="s">
        <v>560</v>
      </c>
      <c r="B2428" s="412">
        <f>VLOOKUP(B2408,'BANG LUONG 1'!$B$4:$AJ$55,24,0)</f>
        <v>800000</v>
      </c>
      <c r="C2428" s="421">
        <v>22</v>
      </c>
      <c r="D2428" s="41"/>
    </row>
    <row r="2429" spans="1:5">
      <c r="A2429" s="183" t="s">
        <v>237</v>
      </c>
      <c r="B2429" s="415">
        <f>VLOOKUP(B2408,'BANG LUONG 1'!$B$4:$AJ$55,26,0)</f>
        <v>5856210.230769231</v>
      </c>
      <c r="C2429" s="421">
        <v>24</v>
      </c>
      <c r="D2429" s="41"/>
    </row>
    <row r="2430" spans="1:5">
      <c r="A2430" s="421" t="s">
        <v>545</v>
      </c>
      <c r="B2430" s="412">
        <f>VLOOKUP(B2408,'BANG LUONG 1'!$B$4:$AJ$55,27,0)</f>
        <v>2000000</v>
      </c>
      <c r="C2430" s="421">
        <v>25</v>
      </c>
      <c r="D2430" s="41"/>
    </row>
    <row r="2431" spans="1:5">
      <c r="A2431" s="421" t="s">
        <v>544</v>
      </c>
      <c r="B2431" s="412">
        <f>VLOOKUP(B2408,'BANG LUONG 1'!$B$4:$AJ$55,28,0)</f>
        <v>0</v>
      </c>
      <c r="C2431" s="421">
        <v>26</v>
      </c>
      <c r="D2431" s="41"/>
    </row>
    <row r="2432" spans="1:5">
      <c r="A2432" s="421" t="s">
        <v>713</v>
      </c>
      <c r="B2432" s="415">
        <f>VLOOKUP(B2408,'BANG LUONG 1'!$B$4:$AJ$55,32,0)</f>
        <v>0</v>
      </c>
      <c r="C2432" s="421"/>
      <c r="D2432" s="41"/>
    </row>
    <row r="2433" spans="1:5">
      <c r="A2433" s="421" t="s">
        <v>714</v>
      </c>
      <c r="B2433" s="415">
        <f>VLOOKUP(B2408,'BANG LUONG 1'!$B$4:$AJ$55,33,0)</f>
        <v>0</v>
      </c>
      <c r="C2433" s="421"/>
      <c r="D2433" s="41"/>
    </row>
    <row r="2434" spans="1:5">
      <c r="A2434" s="183" t="s">
        <v>707</v>
      </c>
      <c r="B2434" s="415">
        <f>VLOOKUP(B2408,'BANG LUONG 1'!$B$4:$AJ$55,34,0)</f>
        <v>0</v>
      </c>
      <c r="C2434" s="421"/>
      <c r="D2434" s="41"/>
      <c r="E2434" s="108" t="str">
        <f>B2409</f>
        <v>Ngô Đình Chung</v>
      </c>
    </row>
    <row r="2435" spans="1:5">
      <c r="A2435" s="183" t="s">
        <v>546</v>
      </c>
      <c r="B2435" s="415">
        <f>VLOOKUP(B2408,'BANG LUONG 1'!$B$4:$AJ$55,35,0)</f>
        <v>3856000</v>
      </c>
      <c r="C2435" s="421"/>
      <c r="D2435" s="41"/>
    </row>
    <row r="2436" spans="1:5">
      <c r="A2436" s="183"/>
      <c r="B2436" s="412"/>
      <c r="C2436" s="421">
        <v>27</v>
      </c>
      <c r="D2436" s="185"/>
    </row>
    <row r="2437" spans="1:5">
      <c r="A2437" s="184" t="s">
        <v>549</v>
      </c>
      <c r="B2437" s="424">
        <f>'BANG LUONG 1'!$P$2</f>
        <v>43702</v>
      </c>
    </row>
    <row r="2438" spans="1:5">
      <c r="A2438" s="183" t="s">
        <v>1</v>
      </c>
      <c r="B2438" s="185" t="s">
        <v>159</v>
      </c>
      <c r="C2438" s="421">
        <v>1</v>
      </c>
      <c r="D2438" s="41"/>
    </row>
    <row r="2439" spans="1:5">
      <c r="A2439" s="183" t="s">
        <v>2</v>
      </c>
      <c r="B2439" s="185" t="str">
        <f>VLOOKUP($B2438,'BANG LUONG 1'!$B$5:$AB$50,C2439,0)</f>
        <v>Ngô Đình Chung</v>
      </c>
      <c r="C2439" s="421">
        <v>2</v>
      </c>
      <c r="D2439" s="41"/>
    </row>
    <row r="2440" spans="1:5">
      <c r="A2440" s="421" t="s">
        <v>3</v>
      </c>
      <c r="B2440" s="41" t="e">
        <f>VLOOKUP($B2438,'BANG LUONG 1'!$B$5:$AJ$47,C2440,0)</f>
        <v>#N/A</v>
      </c>
      <c r="C2440" s="421">
        <v>3</v>
      </c>
      <c r="D2440" s="41"/>
    </row>
    <row r="2441" spans="1:5">
      <c r="A2441" s="421" t="s">
        <v>376</v>
      </c>
      <c r="B2441" s="410">
        <f>VLOOKUP($B2438,'BANG LUONG 1'!$B$4:$AJ$55,4,0)</f>
        <v>42086</v>
      </c>
      <c r="C2441" s="421">
        <v>4</v>
      </c>
      <c r="D2441" s="41"/>
    </row>
    <row r="2442" spans="1:5">
      <c r="A2442" s="421" t="s">
        <v>698</v>
      </c>
      <c r="B2442" s="411">
        <f>VLOOKUP(B2438,'BANG LUONG 1'!$B$4:$AJ$55,6,0)</f>
        <v>0.04</v>
      </c>
      <c r="C2442" s="421">
        <v>5</v>
      </c>
      <c r="D2442" s="41"/>
    </row>
    <row r="2443" spans="1:5">
      <c r="A2443" s="421" t="s">
        <v>229</v>
      </c>
      <c r="B2443" s="412">
        <f>'thang luong moi'!$F$5</f>
        <v>4012500</v>
      </c>
      <c r="C2443" s="421">
        <v>6</v>
      </c>
      <c r="D2443" s="41"/>
    </row>
    <row r="2444" spans="1:5">
      <c r="A2444" s="421" t="s">
        <v>217</v>
      </c>
      <c r="B2444" s="412" t="str">
        <f>VLOOKUP(B2438,'BANG LUONG 1'!$B$4:$AJ$55,8,0)</f>
        <v>B.01</v>
      </c>
      <c r="C2444" s="421">
        <v>7</v>
      </c>
      <c r="D2444" s="41"/>
    </row>
    <row r="2445" spans="1:5">
      <c r="A2445" s="421" t="s">
        <v>230</v>
      </c>
      <c r="B2445" s="412">
        <f>VLOOKUP(B2438,'BANG LUONG 1'!$B$4:$AJ$55,9,0)</f>
        <v>1</v>
      </c>
      <c r="C2445" s="421">
        <v>8</v>
      </c>
      <c r="D2445" s="41"/>
    </row>
    <row r="2446" spans="1:5">
      <c r="A2446" s="421" t="s">
        <v>538</v>
      </c>
      <c r="B2446" s="412">
        <f>VLOOKUP(B2438,'BANG LUONG 1'!$B$4:$AJ$55,11,0)</f>
        <v>4381650</v>
      </c>
      <c r="C2446" s="421">
        <v>9</v>
      </c>
      <c r="D2446" s="41"/>
    </row>
    <row r="2447" spans="1:5">
      <c r="A2447" s="421" t="s">
        <v>354</v>
      </c>
      <c r="B2447" s="412">
        <f>VLOOKUP(B2438,'BANG LUONG 1'!$B$4:$AJ$55,12,0)</f>
        <v>27</v>
      </c>
      <c r="C2447" s="421">
        <v>10</v>
      </c>
      <c r="D2447" s="41"/>
    </row>
    <row r="2448" spans="1:5">
      <c r="A2448" s="421" t="s">
        <v>534</v>
      </c>
      <c r="B2448" s="412">
        <f>VLOOKUP(B2438,'BANG LUONG 1'!$B$4:$AJ$55,13,0)</f>
        <v>4550175</v>
      </c>
      <c r="C2448" s="421">
        <v>11</v>
      </c>
      <c r="D2448" s="41"/>
    </row>
    <row r="2449" spans="1:5">
      <c r="A2449" s="421" t="s">
        <v>592</v>
      </c>
      <c r="B2449" s="412">
        <f>VLOOKUP(B2438,'BANG LUONG 1'!$B$4:$AJ$55,14,0)</f>
        <v>0</v>
      </c>
      <c r="C2449" s="421">
        <v>12</v>
      </c>
      <c r="D2449" s="41">
        <f>B2446/26*B2449</f>
        <v>0</v>
      </c>
    </row>
    <row r="2450" spans="1:5">
      <c r="A2450" s="421" t="s">
        <v>357</v>
      </c>
      <c r="B2450" s="412">
        <f>VLOOKUP(B2438,'BANG LUONG 1'!$B$4:$AJ$55,15,0)</f>
        <v>0</v>
      </c>
      <c r="C2450" s="421">
        <v>13</v>
      </c>
      <c r="D2450" s="41">
        <f>B2446/26/8*1.5*B2450</f>
        <v>0</v>
      </c>
    </row>
    <row r="2451" spans="1:5">
      <c r="A2451" s="421" t="s">
        <v>387</v>
      </c>
      <c r="B2451" s="412">
        <f>VLOOKUP(B2438,'BANG LUONG 1'!$B$4:$AJ$55,16,0)</f>
        <v>0</v>
      </c>
      <c r="C2451" s="421">
        <v>14</v>
      </c>
      <c r="D2451" s="41">
        <f>B2446/26/8*2*B2451</f>
        <v>0</v>
      </c>
    </row>
    <row r="2452" spans="1:5">
      <c r="A2452" s="421" t="s">
        <v>593</v>
      </c>
      <c r="B2452" s="412">
        <f>VLOOKUP(B2438,'BANG LUONG 1'!$B$4:$AJ$55,17,0)</f>
        <v>0</v>
      </c>
      <c r="C2452" s="421"/>
      <c r="D2452" s="41">
        <f>(B2446/26)*B2452</f>
        <v>0</v>
      </c>
    </row>
    <row r="2453" spans="1:5">
      <c r="A2453" s="421" t="s">
        <v>388</v>
      </c>
      <c r="B2453" s="412">
        <f>VLOOKUP(B2438,'BANG LUONG 1'!$B$4:$AJ$55,18,0)</f>
        <v>0</v>
      </c>
      <c r="C2453" s="421">
        <v>15</v>
      </c>
      <c r="D2453" s="41">
        <f>(B2446/26*B2453)*3</f>
        <v>0</v>
      </c>
    </row>
    <row r="2454" spans="1:5">
      <c r="A2454" s="421" t="s">
        <v>533</v>
      </c>
      <c r="B2454" s="412">
        <f>VLOOKUP(B2438,'BANG LUONG 1'!$B$4:$AJ$55,19,0)</f>
        <v>5380944.230769231</v>
      </c>
      <c r="C2454" s="183">
        <v>16</v>
      </c>
      <c r="D2454" s="185">
        <f>B2448+D2450+D2451+D2449+D2453+D2452</f>
        <v>4550175</v>
      </c>
      <c r="E2454" s="108"/>
    </row>
    <row r="2455" spans="1:5">
      <c r="A2455" s="421" t="s">
        <v>535</v>
      </c>
      <c r="B2455" s="412">
        <f>VLOOKUP(B2438,'BANG LUONG 1'!$B$4:$AJ$55,20,0)</f>
        <v>0</v>
      </c>
      <c r="C2455" s="421">
        <v>17</v>
      </c>
      <c r="D2455" s="41"/>
    </row>
    <row r="2456" spans="1:5">
      <c r="A2456" s="421" t="s">
        <v>370</v>
      </c>
      <c r="B2456" s="412">
        <f>VLOOKUP(B2438,'BANG LUONG 1'!$B$4:$AJ$55,22,0)</f>
        <v>175266</v>
      </c>
      <c r="C2456" s="421">
        <v>18</v>
      </c>
      <c r="D2456" s="41"/>
    </row>
    <row r="2457" spans="1:5">
      <c r="A2457" s="421" t="s">
        <v>371</v>
      </c>
      <c r="B2457" s="412">
        <f>VLOOKUP(B2438,'BANG LUONG 1'!$B$4:$AJ$55,23,0)</f>
        <v>300000</v>
      </c>
      <c r="C2457" s="421">
        <v>19</v>
      </c>
      <c r="D2457" s="41"/>
    </row>
    <row r="2458" spans="1:5">
      <c r="A2458" s="421" t="s">
        <v>560</v>
      </c>
      <c r="B2458" s="412">
        <f>VLOOKUP(B2438,'BANG LUONG 1'!$B$4:$AJ$55,24,0)</f>
        <v>800000</v>
      </c>
      <c r="C2458" s="421">
        <v>22</v>
      </c>
      <c r="D2458" s="41"/>
    </row>
    <row r="2459" spans="1:5">
      <c r="A2459" s="183" t="s">
        <v>237</v>
      </c>
      <c r="B2459" s="415">
        <f>VLOOKUP(B2438,'BANG LUONG 1'!$B$4:$AJ$55,26,0)</f>
        <v>5856210.230769231</v>
      </c>
      <c r="C2459" s="421">
        <v>24</v>
      </c>
      <c r="D2459" s="41"/>
    </row>
    <row r="2460" spans="1:5">
      <c r="A2460" s="421" t="s">
        <v>545</v>
      </c>
      <c r="B2460" s="412">
        <f>VLOOKUP(B2438,'BANG LUONG 1'!$B$4:$AJ$55,27,0)</f>
        <v>2000000</v>
      </c>
      <c r="C2460" s="421">
        <v>25</v>
      </c>
      <c r="D2460" s="41"/>
    </row>
    <row r="2461" spans="1:5">
      <c r="A2461" s="421" t="s">
        <v>544</v>
      </c>
      <c r="B2461" s="412">
        <f>VLOOKUP(B2438,'BANG LUONG 1'!$B$4:$AJ$55,28,0)</f>
        <v>0</v>
      </c>
      <c r="C2461" s="421">
        <v>26</v>
      </c>
      <c r="D2461" s="41"/>
    </row>
    <row r="2462" spans="1:5">
      <c r="A2462" s="421" t="s">
        <v>713</v>
      </c>
      <c r="B2462" s="415">
        <f>VLOOKUP(B2438,'BANG LUONG 1'!$B$4:$AJ$55,32,0)</f>
        <v>0</v>
      </c>
      <c r="C2462" s="421"/>
      <c r="D2462" s="41"/>
    </row>
    <row r="2463" spans="1:5">
      <c r="A2463" s="421" t="s">
        <v>714</v>
      </c>
      <c r="B2463" s="415">
        <f>VLOOKUP(B2438,'BANG LUONG 1'!$B$4:$AJ$55,33,0)</f>
        <v>0</v>
      </c>
      <c r="C2463" s="421"/>
      <c r="D2463" s="41"/>
    </row>
    <row r="2464" spans="1:5">
      <c r="A2464" s="183" t="s">
        <v>707</v>
      </c>
      <c r="B2464" s="415">
        <f>VLOOKUP(B2438,'BANG LUONG 1'!$B$4:$AJ$55,34,0)</f>
        <v>0</v>
      </c>
      <c r="C2464" s="421"/>
      <c r="D2464" s="41"/>
      <c r="E2464" s="108" t="str">
        <f>B2439</f>
        <v>Ngô Đình Chung</v>
      </c>
    </row>
    <row r="2465" spans="1:4">
      <c r="A2465" s="183" t="s">
        <v>546</v>
      </c>
      <c r="B2465" s="415">
        <f>VLOOKUP(B2438,'BANG LUONG 1'!$B$4:$AJ$55,35,0)</f>
        <v>3856000</v>
      </c>
      <c r="C2465" s="421"/>
      <c r="D2465" s="41"/>
    </row>
    <row r="2466" spans="1:4">
      <c r="A2466" s="183"/>
      <c r="B2466" s="412"/>
      <c r="C2466" s="421">
        <v>27</v>
      </c>
      <c r="D2466" s="185"/>
    </row>
    <row r="2467" spans="1:4">
      <c r="A2467" s="184" t="s">
        <v>549</v>
      </c>
      <c r="B2467" s="424">
        <f>'BANG LUONG 1'!$P$2</f>
        <v>43702</v>
      </c>
    </row>
    <row r="2468" spans="1:4">
      <c r="A2468" s="183" t="s">
        <v>1</v>
      </c>
      <c r="B2468" s="185" t="s">
        <v>160</v>
      </c>
      <c r="C2468" s="421">
        <v>1</v>
      </c>
      <c r="D2468" s="41"/>
    </row>
    <row r="2469" spans="1:4">
      <c r="A2469" s="183" t="s">
        <v>2</v>
      </c>
      <c r="B2469" s="185" t="e">
        <f>VLOOKUP($B2468,'BANG LUONG 1'!$B$5:$AB$25,C2469,0)</f>
        <v>#N/A</v>
      </c>
      <c r="C2469" s="421">
        <v>2</v>
      </c>
      <c r="D2469" s="41"/>
    </row>
    <row r="2470" spans="1:4">
      <c r="A2470" s="421" t="s">
        <v>3</v>
      </c>
      <c r="B2470" s="41" t="e">
        <f>VLOOKUP($B2468,'BANG LUONG 1'!$B$5:$AJ$47,C2470,0)</f>
        <v>#N/A</v>
      </c>
      <c r="C2470" s="421">
        <v>3</v>
      </c>
      <c r="D2470" s="41"/>
    </row>
    <row r="2471" spans="1:4">
      <c r="A2471" s="421" t="s">
        <v>376</v>
      </c>
      <c r="B2471" s="410">
        <f>VLOOKUP($B2468,'BANG LUONG 1'!$B$4:$AJ$55,4,0)</f>
        <v>41706</v>
      </c>
      <c r="C2471" s="421">
        <v>4</v>
      </c>
      <c r="D2471" s="41"/>
    </row>
    <row r="2472" spans="1:4">
      <c r="A2472" s="421" t="s">
        <v>698</v>
      </c>
      <c r="B2472" s="411">
        <f>VLOOKUP(B2468,'BANG LUONG 1'!$B$4:$AJ$55,6,0)</f>
        <v>0.05</v>
      </c>
      <c r="C2472" s="421">
        <v>5</v>
      </c>
      <c r="D2472" s="41"/>
    </row>
    <row r="2473" spans="1:4">
      <c r="A2473" s="421" t="s">
        <v>229</v>
      </c>
      <c r="B2473" s="412">
        <f>'thang luong moi'!$F$5</f>
        <v>4012500</v>
      </c>
      <c r="C2473" s="421">
        <v>6</v>
      </c>
      <c r="D2473" s="41"/>
    </row>
    <row r="2474" spans="1:4">
      <c r="A2474" s="421" t="s">
        <v>217</v>
      </c>
      <c r="B2474" s="412" t="str">
        <f>VLOOKUP(B2468,'BANG LUONG 1'!$B$4:$AJ$55,8,0)</f>
        <v>B.05</v>
      </c>
      <c r="C2474" s="421">
        <v>7</v>
      </c>
      <c r="D2474" s="41"/>
    </row>
    <row r="2475" spans="1:4">
      <c r="A2475" s="421" t="s">
        <v>230</v>
      </c>
      <c r="B2475" s="412">
        <f>VLOOKUP(B2468,'BANG LUONG 1'!$B$4:$AJ$55,9,0)</f>
        <v>1</v>
      </c>
      <c r="C2475" s="421">
        <v>8</v>
      </c>
      <c r="D2475" s="41"/>
    </row>
    <row r="2476" spans="1:4">
      <c r="A2476" s="421" t="s">
        <v>538</v>
      </c>
      <c r="B2476" s="412">
        <f>VLOOKUP(B2468,'BANG LUONG 1'!$B$4:$AJ$55,11,0)</f>
        <v>4213125</v>
      </c>
      <c r="C2476" s="421">
        <v>9</v>
      </c>
      <c r="D2476" s="41"/>
    </row>
    <row r="2477" spans="1:4">
      <c r="A2477" s="421" t="s">
        <v>354</v>
      </c>
      <c r="B2477" s="412">
        <f>VLOOKUP(B2468,'BANG LUONG 1'!$B$4:$AJ$55,12,0)</f>
        <v>27</v>
      </c>
      <c r="C2477" s="421">
        <v>10</v>
      </c>
      <c r="D2477" s="41"/>
    </row>
    <row r="2478" spans="1:4">
      <c r="A2478" s="421" t="s">
        <v>534</v>
      </c>
      <c r="B2478" s="412">
        <f>VLOOKUP(B2468,'BANG LUONG 1'!$B$4:$AJ$55,13,0)</f>
        <v>4375168.269230769</v>
      </c>
      <c r="C2478" s="421">
        <v>11</v>
      </c>
      <c r="D2478" s="41"/>
    </row>
    <row r="2479" spans="1:4">
      <c r="A2479" s="421" t="s">
        <v>592</v>
      </c>
      <c r="B2479" s="412">
        <f>VLOOKUP(B2468,'BANG LUONG 1'!$B$4:$AJ$55,14,0)</f>
        <v>0</v>
      </c>
      <c r="C2479" s="421">
        <v>12</v>
      </c>
      <c r="D2479" s="41">
        <f>B2476/26*B2479</f>
        <v>0</v>
      </c>
    </row>
    <row r="2480" spans="1:4">
      <c r="A2480" s="421" t="s">
        <v>357</v>
      </c>
      <c r="B2480" s="412">
        <f>VLOOKUP(B2468,'BANG LUONG 1'!$B$4:$AJ$55,15,0)</f>
        <v>0</v>
      </c>
      <c r="C2480" s="421">
        <v>13</v>
      </c>
      <c r="D2480" s="41">
        <f>B2476/26/8*1.5*B2480</f>
        <v>0</v>
      </c>
    </row>
    <row r="2481" spans="1:5">
      <c r="A2481" s="421" t="s">
        <v>387</v>
      </c>
      <c r="B2481" s="412">
        <f>VLOOKUP(B2468,'BANG LUONG 1'!$B$4:$AJ$55,16,0)</f>
        <v>0</v>
      </c>
      <c r="C2481" s="421">
        <v>14</v>
      </c>
      <c r="D2481" s="41">
        <f>B2476/26/8*2*B2481</f>
        <v>0</v>
      </c>
    </row>
    <row r="2482" spans="1:5">
      <c r="A2482" s="421" t="s">
        <v>593</v>
      </c>
      <c r="B2482" s="412">
        <f>VLOOKUP(B2468,'BANG LUONG 1'!$B$4:$AJ$55,17,0)</f>
        <v>0</v>
      </c>
      <c r="C2482" s="421"/>
      <c r="D2482" s="41">
        <f>(B2476/26)*B2482</f>
        <v>0</v>
      </c>
    </row>
    <row r="2483" spans="1:5">
      <c r="A2483" s="421" t="s">
        <v>388</v>
      </c>
      <c r="B2483" s="412">
        <f>VLOOKUP(B2468,'BANG LUONG 1'!$B$4:$AJ$55,18,0)</f>
        <v>0</v>
      </c>
      <c r="C2483" s="421">
        <v>15</v>
      </c>
      <c r="D2483" s="41">
        <f>(B2476/26*B2483)*3</f>
        <v>0</v>
      </c>
    </row>
    <row r="2484" spans="1:5">
      <c r="A2484" s="421" t="s">
        <v>533</v>
      </c>
      <c r="B2484" s="412">
        <f>VLOOKUP(B2468,'BANG LUONG 1'!$B$4:$AJ$55,19,0)</f>
        <v>4375168.269230769</v>
      </c>
      <c r="C2484" s="183">
        <v>16</v>
      </c>
      <c r="D2484" s="185">
        <f>B2478+D2480+D2481+D2479+D2483+D2482</f>
        <v>4375168.269230769</v>
      </c>
      <c r="E2484" s="108"/>
    </row>
    <row r="2485" spans="1:5">
      <c r="A2485" s="421" t="s">
        <v>535</v>
      </c>
      <c r="B2485" s="412">
        <f>VLOOKUP(B2468,'BANG LUONG 1'!$B$4:$AJ$55,20,0)</f>
        <v>-4375168.269230769</v>
      </c>
      <c r="C2485" s="421">
        <v>17</v>
      </c>
      <c r="D2485" s="41"/>
    </row>
    <row r="2486" spans="1:5">
      <c r="A2486" s="421" t="s">
        <v>370</v>
      </c>
      <c r="B2486" s="412">
        <f>VLOOKUP(B2468,'BANG LUONG 1'!$B$4:$AJ$55,22,0)</f>
        <v>210656.25</v>
      </c>
      <c r="C2486" s="421">
        <v>18</v>
      </c>
      <c r="D2486" s="41"/>
    </row>
    <row r="2487" spans="1:5">
      <c r="A2487" s="421" t="s">
        <v>371</v>
      </c>
      <c r="B2487" s="412">
        <f>VLOOKUP(B2468,'BANG LUONG 1'!$B$4:$AJ$55,23,0)</f>
        <v>300000</v>
      </c>
      <c r="C2487" s="421">
        <v>19</v>
      </c>
      <c r="D2487" s="41"/>
    </row>
    <row r="2488" spans="1:5">
      <c r="A2488" s="421" t="s">
        <v>560</v>
      </c>
      <c r="B2488" s="412">
        <f>VLOOKUP(B2468,'BANG LUONG 1'!$B$4:$AJ$55,24,0)</f>
        <v>0</v>
      </c>
      <c r="C2488" s="421">
        <v>22</v>
      </c>
      <c r="D2488" s="41"/>
    </row>
    <row r="2489" spans="1:5">
      <c r="A2489" s="183" t="s">
        <v>237</v>
      </c>
      <c r="B2489" s="415">
        <f>VLOOKUP(B2468,'BANG LUONG 1'!$B$4:$AJ$55,26,0)</f>
        <v>510656.25</v>
      </c>
      <c r="C2489" s="421">
        <v>24</v>
      </c>
      <c r="D2489" s="41"/>
    </row>
    <row r="2490" spans="1:5">
      <c r="A2490" s="421" t="s">
        <v>545</v>
      </c>
      <c r="B2490" s="412">
        <f>VLOOKUP(B2468,'BANG LUONG 1'!$B$4:$AJ$55,27,0)</f>
        <v>3000000</v>
      </c>
      <c r="C2490" s="421">
        <v>25</v>
      </c>
      <c r="D2490" s="41"/>
    </row>
    <row r="2491" spans="1:5">
      <c r="A2491" s="421" t="s">
        <v>544</v>
      </c>
      <c r="B2491" s="412">
        <f>VLOOKUP(B2468,'BANG LUONG 1'!$B$4:$AJ$55,28,0)</f>
        <v>480585</v>
      </c>
      <c r="C2491" s="421">
        <v>26</v>
      </c>
      <c r="D2491" s="41"/>
    </row>
    <row r="2492" spans="1:5">
      <c r="A2492" s="421" t="s">
        <v>713</v>
      </c>
      <c r="B2492" s="415">
        <f>VLOOKUP(B2468,'BANG LUONG 1'!$B$4:$AJ$55,32,0)</f>
        <v>0</v>
      </c>
      <c r="C2492" s="421"/>
      <c r="D2492" s="41"/>
    </row>
    <row r="2493" spans="1:5">
      <c r="A2493" s="421" t="s">
        <v>714</v>
      </c>
      <c r="B2493" s="415">
        <f>VLOOKUP(B2468,'BANG LUONG 1'!$B$4:$AJ$55,33,0)</f>
        <v>0</v>
      </c>
      <c r="C2493" s="421"/>
      <c r="D2493" s="41"/>
    </row>
    <row r="2494" spans="1:5">
      <c r="A2494" s="183" t="s">
        <v>707</v>
      </c>
      <c r="B2494" s="415">
        <f>VLOOKUP(B2468,'BANG LUONG 1'!$B$4:$AJ$55,34,0)</f>
        <v>0</v>
      </c>
      <c r="C2494" s="421"/>
      <c r="D2494" s="41"/>
      <c r="E2494" s="108" t="e">
        <f>B2469</f>
        <v>#N/A</v>
      </c>
    </row>
    <row r="2495" spans="1:5">
      <c r="A2495" s="183" t="s">
        <v>546</v>
      </c>
      <c r="B2495" s="415">
        <f>VLOOKUP(B2468,'BANG LUONG 1'!$B$4:$AJ$55,35,0)</f>
        <v>-2970000</v>
      </c>
      <c r="C2495" s="421"/>
      <c r="D2495" s="41"/>
    </row>
    <row r="2496" spans="1:5">
      <c r="A2496" s="183"/>
      <c r="B2496" s="412"/>
      <c r="C2496" s="421">
        <v>27</v>
      </c>
      <c r="D2496" s="185"/>
    </row>
    <row r="2497" spans="1:4">
      <c r="A2497" s="184" t="s">
        <v>549</v>
      </c>
      <c r="B2497" s="424">
        <f>'BANG LUONG 1'!$P$2</f>
        <v>43702</v>
      </c>
    </row>
    <row r="2498" spans="1:4">
      <c r="A2498" s="183" t="s">
        <v>1</v>
      </c>
      <c r="B2498" s="185" t="s">
        <v>160</v>
      </c>
      <c r="C2498" s="421">
        <v>1</v>
      </c>
      <c r="D2498" s="41"/>
    </row>
    <row r="2499" spans="1:4">
      <c r="A2499" s="183" t="s">
        <v>2</v>
      </c>
      <c r="B2499" s="185" t="e">
        <f>VLOOKUP($B2498,'BANG LUONG 1'!$B$5:$AB$25,C2499,0)</f>
        <v>#N/A</v>
      </c>
      <c r="C2499" s="421">
        <v>2</v>
      </c>
      <c r="D2499" s="41"/>
    </row>
    <row r="2500" spans="1:4">
      <c r="A2500" s="421" t="s">
        <v>3</v>
      </c>
      <c r="B2500" s="41" t="e">
        <f>VLOOKUP($B2498,'BANG LUONG 1'!$B$5:$AJ$47,C2500,0)</f>
        <v>#N/A</v>
      </c>
      <c r="C2500" s="421">
        <v>3</v>
      </c>
      <c r="D2500" s="41"/>
    </row>
    <row r="2501" spans="1:4">
      <c r="A2501" s="421" t="s">
        <v>376</v>
      </c>
      <c r="B2501" s="410">
        <f>VLOOKUP($B2498,'BANG LUONG 1'!$B$4:$AJ$55,4,0)</f>
        <v>41706</v>
      </c>
      <c r="C2501" s="421">
        <v>4</v>
      </c>
      <c r="D2501" s="41"/>
    </row>
    <row r="2502" spans="1:4">
      <c r="A2502" s="421" t="s">
        <v>698</v>
      </c>
      <c r="B2502" s="411">
        <f>VLOOKUP(B2498,'BANG LUONG 1'!$B$4:$AJ$55,6,0)</f>
        <v>0.05</v>
      </c>
      <c r="C2502" s="421">
        <v>5</v>
      </c>
      <c r="D2502" s="41"/>
    </row>
    <row r="2503" spans="1:4">
      <c r="A2503" s="421" t="s">
        <v>229</v>
      </c>
      <c r="B2503" s="412">
        <f>'thang luong moi'!$F$5</f>
        <v>4012500</v>
      </c>
      <c r="C2503" s="421">
        <v>6</v>
      </c>
      <c r="D2503" s="41"/>
    </row>
    <row r="2504" spans="1:4">
      <c r="A2504" s="421" t="s">
        <v>217</v>
      </c>
      <c r="B2504" s="412" t="str">
        <f>VLOOKUP(B2498,'BANG LUONG 1'!$B$4:$AJ$55,8,0)</f>
        <v>B.05</v>
      </c>
      <c r="C2504" s="421">
        <v>7</v>
      </c>
      <c r="D2504" s="41"/>
    </row>
    <row r="2505" spans="1:4">
      <c r="A2505" s="421" t="s">
        <v>230</v>
      </c>
      <c r="B2505" s="412">
        <f>VLOOKUP(B2498,'BANG LUONG 1'!$B$4:$AJ$55,9,0)</f>
        <v>1</v>
      </c>
      <c r="C2505" s="421">
        <v>8</v>
      </c>
      <c r="D2505" s="41"/>
    </row>
    <row r="2506" spans="1:4">
      <c r="A2506" s="421" t="s">
        <v>538</v>
      </c>
      <c r="B2506" s="412">
        <f>VLOOKUP(B2498,'BANG LUONG 1'!$B$4:$AJ$55,11,0)</f>
        <v>4213125</v>
      </c>
      <c r="C2506" s="421">
        <v>9</v>
      </c>
      <c r="D2506" s="41"/>
    </row>
    <row r="2507" spans="1:4">
      <c r="A2507" s="421" t="s">
        <v>354</v>
      </c>
      <c r="B2507" s="412">
        <f>VLOOKUP(B2498,'BANG LUONG 1'!$B$4:$AJ$55,12,0)</f>
        <v>27</v>
      </c>
      <c r="C2507" s="421">
        <v>10</v>
      </c>
      <c r="D2507" s="41"/>
    </row>
    <row r="2508" spans="1:4">
      <c r="A2508" s="421" t="s">
        <v>534</v>
      </c>
      <c r="B2508" s="412">
        <f>VLOOKUP(B2498,'BANG LUONG 1'!$B$4:$AJ$55,13,0)</f>
        <v>4375168.269230769</v>
      </c>
      <c r="C2508" s="421">
        <v>11</v>
      </c>
      <c r="D2508" s="41"/>
    </row>
    <row r="2509" spans="1:4">
      <c r="A2509" s="421" t="s">
        <v>592</v>
      </c>
      <c r="B2509" s="412">
        <f>VLOOKUP(B2498,'BANG LUONG 1'!$B$4:$AJ$55,14,0)</f>
        <v>0</v>
      </c>
      <c r="C2509" s="421">
        <v>12</v>
      </c>
      <c r="D2509" s="41">
        <f>B2506/26*B2509</f>
        <v>0</v>
      </c>
    </row>
    <row r="2510" spans="1:4">
      <c r="A2510" s="421" t="s">
        <v>357</v>
      </c>
      <c r="B2510" s="412">
        <f>VLOOKUP(B2498,'BANG LUONG 1'!$B$4:$AJ$55,15,0)</f>
        <v>0</v>
      </c>
      <c r="C2510" s="421">
        <v>13</v>
      </c>
      <c r="D2510" s="41">
        <f>B2506/26/8*1.5*B2510</f>
        <v>0</v>
      </c>
    </row>
    <row r="2511" spans="1:4">
      <c r="A2511" s="421" t="s">
        <v>387</v>
      </c>
      <c r="B2511" s="412">
        <f>VLOOKUP(B2498,'BANG LUONG 1'!$B$4:$AJ$55,16,0)</f>
        <v>0</v>
      </c>
      <c r="C2511" s="421">
        <v>14</v>
      </c>
      <c r="D2511" s="41">
        <f>B2506/26/8*2*B2511</f>
        <v>0</v>
      </c>
    </row>
    <row r="2512" spans="1:4">
      <c r="A2512" s="421" t="s">
        <v>593</v>
      </c>
      <c r="B2512" s="412">
        <f>VLOOKUP(B2498,'BANG LUONG 1'!$B$4:$AJ$55,17,0)</f>
        <v>0</v>
      </c>
      <c r="C2512" s="421"/>
      <c r="D2512" s="41">
        <f>(B2506/26)*B2512</f>
        <v>0</v>
      </c>
    </row>
    <row r="2513" spans="1:5">
      <c r="A2513" s="421" t="s">
        <v>388</v>
      </c>
      <c r="B2513" s="412">
        <f>VLOOKUP(B2498,'BANG LUONG 1'!$B$4:$AJ$55,18,0)</f>
        <v>0</v>
      </c>
      <c r="C2513" s="421">
        <v>15</v>
      </c>
      <c r="D2513" s="41">
        <f>(B2506/26*B2513)*3</f>
        <v>0</v>
      </c>
    </row>
    <row r="2514" spans="1:5">
      <c r="A2514" s="421" t="s">
        <v>533</v>
      </c>
      <c r="B2514" s="412">
        <f>VLOOKUP(B2498,'BANG LUONG 1'!$B$4:$AJ$55,19,0)</f>
        <v>4375168.269230769</v>
      </c>
      <c r="C2514" s="183">
        <v>16</v>
      </c>
      <c r="D2514" s="185">
        <f>B2508+D2510+D2511+D2509+D2513+D2512</f>
        <v>4375168.269230769</v>
      </c>
      <c r="E2514" s="108"/>
    </row>
    <row r="2515" spans="1:5">
      <c r="A2515" s="421" t="s">
        <v>535</v>
      </c>
      <c r="B2515" s="412">
        <f>VLOOKUP(B2498,'BANG LUONG 1'!$B$4:$AJ$55,20,0)</f>
        <v>-4375168.269230769</v>
      </c>
      <c r="C2515" s="421">
        <v>17</v>
      </c>
      <c r="D2515" s="41"/>
    </row>
    <row r="2516" spans="1:5">
      <c r="A2516" s="421" t="s">
        <v>370</v>
      </c>
      <c r="B2516" s="412">
        <f>VLOOKUP(B2498,'BANG LUONG 1'!$B$4:$AJ$55,22,0)</f>
        <v>210656.25</v>
      </c>
      <c r="C2516" s="421">
        <v>18</v>
      </c>
      <c r="D2516" s="41"/>
    </row>
    <row r="2517" spans="1:5">
      <c r="A2517" s="421" t="s">
        <v>371</v>
      </c>
      <c r="B2517" s="412">
        <f>VLOOKUP(B2498,'BANG LUONG 1'!$B$4:$AJ$55,23,0)</f>
        <v>300000</v>
      </c>
      <c r="C2517" s="421">
        <v>19</v>
      </c>
      <c r="D2517" s="41"/>
    </row>
    <row r="2518" spans="1:5">
      <c r="A2518" s="421" t="s">
        <v>560</v>
      </c>
      <c r="B2518" s="412">
        <f>VLOOKUP(B2498,'BANG LUONG 1'!$B$4:$AJ$55,24,0)</f>
        <v>0</v>
      </c>
      <c r="C2518" s="421">
        <v>22</v>
      </c>
      <c r="D2518" s="41"/>
    </row>
    <row r="2519" spans="1:5">
      <c r="A2519" s="183" t="s">
        <v>237</v>
      </c>
      <c r="B2519" s="415">
        <f>VLOOKUP(B2498,'BANG LUONG 1'!$B$4:$AJ$55,26,0)</f>
        <v>510656.25</v>
      </c>
      <c r="C2519" s="421">
        <v>24</v>
      </c>
      <c r="D2519" s="41"/>
    </row>
    <row r="2520" spans="1:5">
      <c r="A2520" s="421" t="s">
        <v>545</v>
      </c>
      <c r="B2520" s="412">
        <f>VLOOKUP(B2498,'BANG LUONG 1'!$B$4:$AJ$55,27,0)</f>
        <v>3000000</v>
      </c>
      <c r="C2520" s="421">
        <v>25</v>
      </c>
      <c r="D2520" s="41"/>
    </row>
    <row r="2521" spans="1:5">
      <c r="A2521" s="421" t="s">
        <v>544</v>
      </c>
      <c r="B2521" s="412">
        <f>VLOOKUP(B2498,'BANG LUONG 1'!$B$4:$AJ$55,28,0)</f>
        <v>480585</v>
      </c>
      <c r="C2521" s="421">
        <v>26</v>
      </c>
      <c r="D2521" s="41"/>
    </row>
    <row r="2522" spans="1:5">
      <c r="A2522" s="421" t="s">
        <v>713</v>
      </c>
      <c r="B2522" s="415">
        <f>VLOOKUP(B2498,'BANG LUONG 1'!$B$4:$AJ$55,32,0)</f>
        <v>0</v>
      </c>
      <c r="C2522" s="421"/>
      <c r="D2522" s="41"/>
    </row>
    <row r="2523" spans="1:5">
      <c r="A2523" s="421" t="s">
        <v>714</v>
      </c>
      <c r="B2523" s="415">
        <f>VLOOKUP(B2498,'BANG LUONG 1'!$B$4:$AJ$55,33,0)</f>
        <v>0</v>
      </c>
      <c r="C2523" s="421"/>
      <c r="D2523" s="41"/>
    </row>
    <row r="2524" spans="1:5">
      <c r="A2524" s="183" t="s">
        <v>707</v>
      </c>
      <c r="B2524" s="415">
        <f>VLOOKUP(B2498,'BANG LUONG 1'!$B$4:$AJ$55,34,0)</f>
        <v>0</v>
      </c>
      <c r="C2524" s="421"/>
      <c r="D2524" s="41"/>
      <c r="E2524" s="108" t="e">
        <f>B2499</f>
        <v>#N/A</v>
      </c>
    </row>
    <row r="2525" spans="1:5">
      <c r="A2525" s="183" t="s">
        <v>546</v>
      </c>
      <c r="B2525" s="415">
        <f>VLOOKUP(B2498,'BANG LUONG 1'!$B$4:$AJ$55,35,0)</f>
        <v>-2970000</v>
      </c>
      <c r="C2525" s="421"/>
      <c r="D2525" s="41"/>
    </row>
    <row r="2526" spans="1:5">
      <c r="A2526" s="183"/>
      <c r="B2526" s="412"/>
      <c r="C2526" s="421">
        <v>27</v>
      </c>
      <c r="D2526" s="185"/>
    </row>
    <row r="2527" spans="1:5">
      <c r="A2527" s="184" t="s">
        <v>549</v>
      </c>
      <c r="B2527" s="424">
        <f>'BANG LUONG 1'!$P$2</f>
        <v>43702</v>
      </c>
    </row>
    <row r="2528" spans="1:5">
      <c r="A2528" s="183" t="s">
        <v>1</v>
      </c>
      <c r="B2528" s="185" t="s">
        <v>161</v>
      </c>
      <c r="C2528" s="421">
        <v>1</v>
      </c>
      <c r="D2528" s="41"/>
    </row>
    <row r="2529" spans="1:5">
      <c r="A2529" s="183" t="s">
        <v>2</v>
      </c>
      <c r="B2529" s="185" t="e">
        <f>VLOOKUP($B2528,'BANG LUONG 1'!$B$5:$AB$25,C2529,0)</f>
        <v>#N/A</v>
      </c>
      <c r="C2529" s="421">
        <v>2</v>
      </c>
      <c r="D2529" s="41"/>
    </row>
    <row r="2530" spans="1:5">
      <c r="A2530" s="421" t="s">
        <v>3</v>
      </c>
      <c r="B2530" s="41" t="e">
        <f>VLOOKUP($B2528,'BANG LUONG 1'!$B$5:$AJ$47,C2530,0)</f>
        <v>#N/A</v>
      </c>
      <c r="C2530" s="421">
        <v>3</v>
      </c>
      <c r="D2530" s="41"/>
    </row>
    <row r="2531" spans="1:5">
      <c r="A2531" s="421" t="s">
        <v>376</v>
      </c>
      <c r="B2531" s="410">
        <f>VLOOKUP($B2528,'BANG LUONG 1'!$B$4:$AJ$55,4,0)</f>
        <v>42413</v>
      </c>
      <c r="C2531" s="421">
        <v>4</v>
      </c>
      <c r="D2531" s="41"/>
    </row>
    <row r="2532" spans="1:5">
      <c r="A2532" s="421" t="s">
        <v>698</v>
      </c>
      <c r="B2532" s="411">
        <f>VLOOKUP(B2528,'BANG LUONG 1'!$B$4:$AJ$55,6,0)</f>
        <v>0.03</v>
      </c>
      <c r="C2532" s="421">
        <v>5</v>
      </c>
      <c r="D2532" s="41"/>
    </row>
    <row r="2533" spans="1:5">
      <c r="A2533" s="421" t="s">
        <v>229</v>
      </c>
      <c r="B2533" s="412">
        <f>'thang luong moi'!$F$5</f>
        <v>4012500</v>
      </c>
      <c r="C2533" s="421">
        <v>6</v>
      </c>
      <c r="D2533" s="41"/>
    </row>
    <row r="2534" spans="1:5">
      <c r="A2534" s="421" t="s">
        <v>217</v>
      </c>
      <c r="B2534" s="412" t="str">
        <f>VLOOKUP(B2528,'BANG LUONG 1'!$B$4:$AJ$55,8,0)</f>
        <v>B.05</v>
      </c>
      <c r="C2534" s="421">
        <v>7</v>
      </c>
      <c r="D2534" s="41"/>
    </row>
    <row r="2535" spans="1:5">
      <c r="A2535" s="421" t="s">
        <v>230</v>
      </c>
      <c r="B2535" s="412">
        <f>VLOOKUP(B2528,'BANG LUONG 1'!$B$4:$AJ$55,9,0)</f>
        <v>1</v>
      </c>
      <c r="C2535" s="421">
        <v>8</v>
      </c>
      <c r="D2535" s="41"/>
    </row>
    <row r="2536" spans="1:5">
      <c r="A2536" s="421" t="s">
        <v>538</v>
      </c>
      <c r="B2536" s="412">
        <f>VLOOKUP(B2528,'BANG LUONG 1'!$B$4:$AJ$55,11,0)</f>
        <v>4213125</v>
      </c>
      <c r="C2536" s="421">
        <v>9</v>
      </c>
      <c r="D2536" s="41"/>
    </row>
    <row r="2537" spans="1:5">
      <c r="A2537" s="421" t="s">
        <v>354</v>
      </c>
      <c r="B2537" s="412">
        <f>VLOOKUP(B2528,'BANG LUONG 1'!$B$4:$AJ$55,12,0)</f>
        <v>27</v>
      </c>
      <c r="C2537" s="421">
        <v>10</v>
      </c>
      <c r="D2537" s="41"/>
    </row>
    <row r="2538" spans="1:5">
      <c r="A2538" s="421" t="s">
        <v>534</v>
      </c>
      <c r="B2538" s="412">
        <f>VLOOKUP(B2528,'BANG LUONG 1'!$B$4:$AJ$55,13,0)</f>
        <v>4375168.269230769</v>
      </c>
      <c r="C2538" s="421">
        <v>11</v>
      </c>
      <c r="D2538" s="41"/>
    </row>
    <row r="2539" spans="1:5">
      <c r="A2539" s="421" t="s">
        <v>592</v>
      </c>
      <c r="B2539" s="412">
        <f>VLOOKUP(B2528,'BANG LUONG 1'!$B$4:$AJ$55,14,0)</f>
        <v>0</v>
      </c>
      <c r="C2539" s="421">
        <v>12</v>
      </c>
      <c r="D2539" s="41">
        <f>B2536/26*B2539</f>
        <v>0</v>
      </c>
    </row>
    <row r="2540" spans="1:5">
      <c r="A2540" s="421" t="s">
        <v>357</v>
      </c>
      <c r="B2540" s="412">
        <f>VLOOKUP(B2528,'BANG LUONG 1'!$B$4:$AJ$55,15,0)</f>
        <v>0</v>
      </c>
      <c r="C2540" s="421">
        <v>13</v>
      </c>
      <c r="D2540" s="41">
        <f>B2536/26/8*1.5*B2540</f>
        <v>0</v>
      </c>
    </row>
    <row r="2541" spans="1:5">
      <c r="A2541" s="421" t="s">
        <v>387</v>
      </c>
      <c r="B2541" s="412">
        <f>VLOOKUP(B2528,'BANG LUONG 1'!$B$4:$AJ$55,16,0)</f>
        <v>0</v>
      </c>
      <c r="C2541" s="421">
        <v>14</v>
      </c>
      <c r="D2541" s="41">
        <f>B2536/26/8*2*B2541</f>
        <v>0</v>
      </c>
    </row>
    <row r="2542" spans="1:5">
      <c r="A2542" s="421" t="s">
        <v>593</v>
      </c>
      <c r="B2542" s="412">
        <f>VLOOKUP(B2528,'BANG LUONG 1'!$B$4:$AJ$55,17,0)</f>
        <v>0</v>
      </c>
      <c r="C2542" s="421"/>
      <c r="D2542" s="41">
        <f>(B2536/26)*B2542</f>
        <v>0</v>
      </c>
    </row>
    <row r="2543" spans="1:5">
      <c r="A2543" s="421" t="s">
        <v>388</v>
      </c>
      <c r="B2543" s="412">
        <f>VLOOKUP(B2528,'BANG LUONG 1'!$B$4:$AJ$55,18,0)</f>
        <v>0</v>
      </c>
      <c r="C2543" s="421">
        <v>15</v>
      </c>
      <c r="D2543" s="41">
        <f>(B2536/26*B2543)*3</f>
        <v>0</v>
      </c>
    </row>
    <row r="2544" spans="1:5">
      <c r="A2544" s="421" t="s">
        <v>533</v>
      </c>
      <c r="B2544" s="412">
        <f>VLOOKUP(B2528,'BANG LUONG 1'!$B$4:$AJ$55,19,0)</f>
        <v>4375168.269230769</v>
      </c>
      <c r="C2544" s="183">
        <v>16</v>
      </c>
      <c r="D2544" s="185">
        <f>B2538+D2540+D2541+D2539+D2543+D2542</f>
        <v>4375168.269230769</v>
      </c>
      <c r="E2544" s="108"/>
    </row>
    <row r="2545" spans="1:5">
      <c r="A2545" s="421" t="s">
        <v>535</v>
      </c>
      <c r="B2545" s="412">
        <f>VLOOKUP(B2528,'BANG LUONG 1'!$B$4:$AJ$55,20,0)</f>
        <v>-4375168.269230769</v>
      </c>
      <c r="C2545" s="421">
        <v>17</v>
      </c>
      <c r="D2545" s="41"/>
    </row>
    <row r="2546" spans="1:5">
      <c r="A2546" s="421" t="s">
        <v>370</v>
      </c>
      <c r="B2546" s="412">
        <f>VLOOKUP(B2528,'BANG LUONG 1'!$B$4:$AJ$55,22,0)</f>
        <v>126393.75</v>
      </c>
      <c r="C2546" s="421">
        <v>18</v>
      </c>
      <c r="D2546" s="41"/>
    </row>
    <row r="2547" spans="1:5">
      <c r="A2547" s="421" t="s">
        <v>371</v>
      </c>
      <c r="B2547" s="412">
        <f>VLOOKUP(B2528,'BANG LUONG 1'!$B$4:$AJ$55,23,0)</f>
        <v>300000</v>
      </c>
      <c r="C2547" s="421">
        <v>19</v>
      </c>
      <c r="D2547" s="41"/>
    </row>
    <row r="2548" spans="1:5">
      <c r="A2548" s="421" t="s">
        <v>560</v>
      </c>
      <c r="B2548" s="412">
        <f>VLOOKUP(B2528,'BANG LUONG 1'!$B$4:$AJ$55,24,0)</f>
        <v>0</v>
      </c>
      <c r="C2548" s="421">
        <v>22</v>
      </c>
      <c r="D2548" s="41"/>
    </row>
    <row r="2549" spans="1:5">
      <c r="A2549" s="183" t="s">
        <v>237</v>
      </c>
      <c r="B2549" s="415">
        <f>VLOOKUP(B2528,'BANG LUONG 1'!$B$4:$AJ$55,26,0)</f>
        <v>426393.75</v>
      </c>
      <c r="C2549" s="421">
        <v>24</v>
      </c>
      <c r="D2549" s="41"/>
    </row>
    <row r="2550" spans="1:5">
      <c r="A2550" s="421" t="s">
        <v>545</v>
      </c>
      <c r="B2550" s="412">
        <f>VLOOKUP(B2528,'BANG LUONG 1'!$B$4:$AJ$55,27,0)</f>
        <v>3000000</v>
      </c>
      <c r="C2550" s="421">
        <v>25</v>
      </c>
      <c r="D2550" s="41"/>
    </row>
    <row r="2551" spans="1:5">
      <c r="A2551" s="421" t="s">
        <v>544</v>
      </c>
      <c r="B2551" s="412">
        <f>VLOOKUP(B2528,'BANG LUONG 1'!$B$4:$AJ$55,28,0)</f>
        <v>480585</v>
      </c>
      <c r="C2551" s="421">
        <v>26</v>
      </c>
      <c r="D2551" s="41"/>
    </row>
    <row r="2552" spans="1:5">
      <c r="A2552" s="421" t="s">
        <v>713</v>
      </c>
      <c r="B2552" s="415">
        <f>VLOOKUP(B2528,'BANG LUONG 1'!$B$4:$AJ$55,32,0)</f>
        <v>0</v>
      </c>
      <c r="C2552" s="421"/>
      <c r="D2552" s="41"/>
    </row>
    <row r="2553" spans="1:5">
      <c r="A2553" s="421" t="s">
        <v>714</v>
      </c>
      <c r="B2553" s="415">
        <f>VLOOKUP(B2528,'BANG LUONG 1'!$B$4:$AJ$55,33,0)</f>
        <v>0</v>
      </c>
      <c r="C2553" s="421"/>
      <c r="D2553" s="41"/>
    </row>
    <row r="2554" spans="1:5">
      <c r="A2554" s="183" t="s">
        <v>707</v>
      </c>
      <c r="B2554" s="415">
        <f>VLOOKUP(B2528,'BANG LUONG 1'!$B$4:$AJ$55,34,0)</f>
        <v>0</v>
      </c>
      <c r="C2554" s="421"/>
      <c r="D2554" s="41"/>
      <c r="E2554" s="108" t="e">
        <f>B2529</f>
        <v>#N/A</v>
      </c>
    </row>
    <row r="2555" spans="1:5">
      <c r="A2555" s="183" t="s">
        <v>546</v>
      </c>
      <c r="B2555" s="415">
        <f>VLOOKUP(B2528,'BANG LUONG 1'!$B$4:$AJ$55,35,0)</f>
        <v>-3054000</v>
      </c>
      <c r="C2555" s="421"/>
      <c r="D2555" s="41"/>
    </row>
    <row r="2556" spans="1:5">
      <c r="A2556" s="183"/>
      <c r="B2556" s="412"/>
      <c r="C2556" s="421">
        <v>27</v>
      </c>
      <c r="D2556" s="185"/>
    </row>
    <row r="2557" spans="1:5">
      <c r="A2557" s="184" t="s">
        <v>549</v>
      </c>
      <c r="B2557" s="424">
        <f>'BANG LUONG 1'!$P$2</f>
        <v>43702</v>
      </c>
    </row>
    <row r="2558" spans="1:5">
      <c r="A2558" s="183" t="s">
        <v>1</v>
      </c>
      <c r="B2558" s="185" t="s">
        <v>161</v>
      </c>
      <c r="C2558" s="421">
        <v>1</v>
      </c>
      <c r="D2558" s="41"/>
    </row>
    <row r="2559" spans="1:5">
      <c r="A2559" s="183" t="s">
        <v>2</v>
      </c>
      <c r="B2559" s="185" t="e">
        <f>VLOOKUP($B2558,'BANG LUONG 1'!$B$5:$AB$25,C2559,0)</f>
        <v>#N/A</v>
      </c>
      <c r="C2559" s="421">
        <v>2</v>
      </c>
      <c r="D2559" s="41"/>
    </row>
    <row r="2560" spans="1:5">
      <c r="A2560" s="421" t="s">
        <v>3</v>
      </c>
      <c r="B2560" s="41" t="e">
        <f>VLOOKUP($B2558,'BANG LUONG 1'!$B$5:$AJ$47,C2560,0)</f>
        <v>#N/A</v>
      </c>
      <c r="C2560" s="421">
        <v>3</v>
      </c>
      <c r="D2560" s="41"/>
    </row>
    <row r="2561" spans="1:5">
      <c r="A2561" s="421" t="s">
        <v>376</v>
      </c>
      <c r="B2561" s="410">
        <f>VLOOKUP($B2558,'BANG LUONG 1'!$B$4:$AJ$55,4,0)</f>
        <v>42413</v>
      </c>
      <c r="C2561" s="421">
        <v>4</v>
      </c>
      <c r="D2561" s="41"/>
    </row>
    <row r="2562" spans="1:5">
      <c r="A2562" s="421" t="s">
        <v>698</v>
      </c>
      <c r="B2562" s="411">
        <f>VLOOKUP(B2558,'BANG LUONG 1'!$B$4:$AJ$55,6,0)</f>
        <v>0.03</v>
      </c>
      <c r="C2562" s="421">
        <v>5</v>
      </c>
      <c r="D2562" s="41"/>
    </row>
    <row r="2563" spans="1:5">
      <c r="A2563" s="421" t="s">
        <v>229</v>
      </c>
      <c r="B2563" s="412">
        <f>'thang luong moi'!$F$5</f>
        <v>4012500</v>
      </c>
      <c r="C2563" s="421">
        <v>6</v>
      </c>
      <c r="D2563" s="41"/>
    </row>
    <row r="2564" spans="1:5">
      <c r="A2564" s="421" t="s">
        <v>217</v>
      </c>
      <c r="B2564" s="412" t="str">
        <f>VLOOKUP(B2558,'BANG LUONG 1'!$B$4:$AJ$55,8,0)</f>
        <v>B.05</v>
      </c>
      <c r="C2564" s="421">
        <v>7</v>
      </c>
      <c r="D2564" s="41"/>
    </row>
    <row r="2565" spans="1:5">
      <c r="A2565" s="421" t="s">
        <v>230</v>
      </c>
      <c r="B2565" s="412">
        <f>VLOOKUP(B2558,'BANG LUONG 1'!$B$4:$AJ$55,9,0)</f>
        <v>1</v>
      </c>
      <c r="C2565" s="421">
        <v>8</v>
      </c>
      <c r="D2565" s="41"/>
    </row>
    <row r="2566" spans="1:5">
      <c r="A2566" s="421" t="s">
        <v>538</v>
      </c>
      <c r="B2566" s="412">
        <f>VLOOKUP(B2558,'BANG LUONG 1'!$B$4:$AJ$55,11,0)</f>
        <v>4213125</v>
      </c>
      <c r="C2566" s="421">
        <v>9</v>
      </c>
      <c r="D2566" s="41"/>
    </row>
    <row r="2567" spans="1:5">
      <c r="A2567" s="421" t="s">
        <v>354</v>
      </c>
      <c r="B2567" s="412">
        <f>VLOOKUP(B2558,'BANG LUONG 1'!$B$4:$AJ$55,12,0)</f>
        <v>27</v>
      </c>
      <c r="C2567" s="421">
        <v>10</v>
      </c>
      <c r="D2567" s="41"/>
    </row>
    <row r="2568" spans="1:5">
      <c r="A2568" s="421" t="s">
        <v>534</v>
      </c>
      <c r="B2568" s="412">
        <f>VLOOKUP(B2558,'BANG LUONG 1'!$B$4:$AJ$55,13,0)</f>
        <v>4375168.269230769</v>
      </c>
      <c r="C2568" s="421">
        <v>11</v>
      </c>
      <c r="D2568" s="41"/>
    </row>
    <row r="2569" spans="1:5">
      <c r="A2569" s="421" t="s">
        <v>592</v>
      </c>
      <c r="B2569" s="412">
        <f>VLOOKUP(B2558,'BANG LUONG 1'!$B$4:$AJ$55,14,0)</f>
        <v>0</v>
      </c>
      <c r="C2569" s="421">
        <v>12</v>
      </c>
      <c r="D2569" s="41">
        <f>B2566/26*B2569</f>
        <v>0</v>
      </c>
    </row>
    <row r="2570" spans="1:5">
      <c r="A2570" s="421" t="s">
        <v>357</v>
      </c>
      <c r="B2570" s="412">
        <f>VLOOKUP(B2558,'BANG LUONG 1'!$B$4:$AJ$55,15,0)</f>
        <v>0</v>
      </c>
      <c r="C2570" s="421">
        <v>13</v>
      </c>
      <c r="D2570" s="41">
        <f>B2566/26/8*1.5*B2570</f>
        <v>0</v>
      </c>
    </row>
    <row r="2571" spans="1:5">
      <c r="A2571" s="421" t="s">
        <v>387</v>
      </c>
      <c r="B2571" s="412">
        <f>VLOOKUP(B2558,'BANG LUONG 1'!$B$4:$AJ$55,16,0)</f>
        <v>0</v>
      </c>
      <c r="C2571" s="421">
        <v>14</v>
      </c>
      <c r="D2571" s="41">
        <f>B2566/26/8*2*B2571</f>
        <v>0</v>
      </c>
    </row>
    <row r="2572" spans="1:5">
      <c r="A2572" s="421" t="s">
        <v>593</v>
      </c>
      <c r="B2572" s="412">
        <f>VLOOKUP(B2558,'BANG LUONG 1'!$B$4:$AJ$55,17,0)</f>
        <v>0</v>
      </c>
      <c r="C2572" s="421"/>
      <c r="D2572" s="41">
        <f>(B2566/26)*B2572</f>
        <v>0</v>
      </c>
    </row>
    <row r="2573" spans="1:5">
      <c r="A2573" s="421" t="s">
        <v>388</v>
      </c>
      <c r="B2573" s="412">
        <f>VLOOKUP(B2558,'BANG LUONG 1'!$B$4:$AJ$55,18,0)</f>
        <v>0</v>
      </c>
      <c r="C2573" s="421">
        <v>15</v>
      </c>
      <c r="D2573" s="41">
        <f>(B2566/26*B2573)*3</f>
        <v>0</v>
      </c>
    </row>
    <row r="2574" spans="1:5">
      <c r="A2574" s="421" t="s">
        <v>533</v>
      </c>
      <c r="B2574" s="412">
        <f>VLOOKUP(B2558,'BANG LUONG 1'!$B$4:$AJ$55,19,0)</f>
        <v>4375168.269230769</v>
      </c>
      <c r="C2574" s="183">
        <v>16</v>
      </c>
      <c r="D2574" s="185">
        <f>B2568+D2570+D2571+D2569+D2573+D2572</f>
        <v>4375168.269230769</v>
      </c>
      <c r="E2574" s="108"/>
    </row>
    <row r="2575" spans="1:5">
      <c r="A2575" s="421" t="s">
        <v>535</v>
      </c>
      <c r="B2575" s="412">
        <f>VLOOKUP(B2558,'BANG LUONG 1'!$B$4:$AJ$55,20,0)</f>
        <v>-4375168.269230769</v>
      </c>
      <c r="C2575" s="421">
        <v>17</v>
      </c>
      <c r="D2575" s="41"/>
    </row>
    <row r="2576" spans="1:5">
      <c r="A2576" s="421" t="s">
        <v>370</v>
      </c>
      <c r="B2576" s="412">
        <f>VLOOKUP(B2558,'BANG LUONG 1'!$B$4:$AJ$55,22,0)</f>
        <v>126393.75</v>
      </c>
      <c r="C2576" s="421">
        <v>18</v>
      </c>
      <c r="D2576" s="41"/>
    </row>
    <row r="2577" spans="1:5">
      <c r="A2577" s="421" t="s">
        <v>371</v>
      </c>
      <c r="B2577" s="412">
        <f>VLOOKUP(B2558,'BANG LUONG 1'!$B$4:$AJ$55,23,0)</f>
        <v>300000</v>
      </c>
      <c r="C2577" s="421">
        <v>19</v>
      </c>
      <c r="D2577" s="41"/>
    </row>
    <row r="2578" spans="1:5">
      <c r="A2578" s="421" t="s">
        <v>560</v>
      </c>
      <c r="B2578" s="412">
        <f>VLOOKUP(B2558,'BANG LUONG 1'!$B$4:$AJ$55,24,0)</f>
        <v>0</v>
      </c>
      <c r="C2578" s="421">
        <v>22</v>
      </c>
      <c r="D2578" s="41"/>
    </row>
    <row r="2579" spans="1:5">
      <c r="A2579" s="183" t="s">
        <v>237</v>
      </c>
      <c r="B2579" s="415">
        <f>VLOOKUP(B2558,'BANG LUONG 1'!$B$4:$AJ$55,26,0)</f>
        <v>426393.75</v>
      </c>
      <c r="C2579" s="421">
        <v>24</v>
      </c>
      <c r="D2579" s="41"/>
    </row>
    <row r="2580" spans="1:5">
      <c r="A2580" s="421" t="s">
        <v>545</v>
      </c>
      <c r="B2580" s="412">
        <f>VLOOKUP(B2558,'BANG LUONG 1'!$B$4:$AJ$55,27,0)</f>
        <v>3000000</v>
      </c>
      <c r="C2580" s="421">
        <v>25</v>
      </c>
      <c r="D2580" s="41"/>
    </row>
    <row r="2581" spans="1:5">
      <c r="A2581" s="421" t="s">
        <v>544</v>
      </c>
      <c r="B2581" s="412">
        <f>VLOOKUP(B2558,'BANG LUONG 1'!$B$4:$AJ$55,28,0)</f>
        <v>480585</v>
      </c>
      <c r="C2581" s="421">
        <v>26</v>
      </c>
      <c r="D2581" s="41"/>
    </row>
    <row r="2582" spans="1:5">
      <c r="A2582" s="421" t="s">
        <v>713</v>
      </c>
      <c r="B2582" s="415">
        <f>VLOOKUP(B2558,'BANG LUONG 1'!$B$4:$AJ$55,32,0)</f>
        <v>0</v>
      </c>
      <c r="C2582" s="421"/>
      <c r="D2582" s="41"/>
    </row>
    <row r="2583" spans="1:5">
      <c r="A2583" s="421" t="s">
        <v>714</v>
      </c>
      <c r="B2583" s="415">
        <f>VLOOKUP(B2558,'BANG LUONG 1'!$B$4:$AJ$55,33,0)</f>
        <v>0</v>
      </c>
      <c r="C2583" s="421"/>
      <c r="D2583" s="41"/>
    </row>
    <row r="2584" spans="1:5">
      <c r="A2584" s="183" t="s">
        <v>707</v>
      </c>
      <c r="B2584" s="415">
        <f>VLOOKUP(B2558,'BANG LUONG 1'!$B$4:$AJ$55,34,0)</f>
        <v>0</v>
      </c>
      <c r="C2584" s="421"/>
      <c r="D2584" s="41"/>
      <c r="E2584" s="108" t="e">
        <f>B2559</f>
        <v>#N/A</v>
      </c>
    </row>
    <row r="2585" spans="1:5">
      <c r="A2585" s="183" t="s">
        <v>546</v>
      </c>
      <c r="B2585" s="415">
        <f>VLOOKUP(B2558,'BANG LUONG 1'!$B$4:$AJ$55,35,0)</f>
        <v>-3054000</v>
      </c>
      <c r="C2585" s="421"/>
      <c r="D2585" s="41"/>
    </row>
    <row r="2586" spans="1:5">
      <c r="A2586" s="183"/>
      <c r="B2586" s="412"/>
      <c r="C2586" s="421">
        <v>27</v>
      </c>
      <c r="D2586" s="185"/>
    </row>
    <row r="2587" spans="1:5">
      <c r="A2587" s="184" t="s">
        <v>549</v>
      </c>
      <c r="B2587" s="424">
        <f>'BANG LUONG 1'!$P$2</f>
        <v>43702</v>
      </c>
    </row>
    <row r="2588" spans="1:5">
      <c r="A2588" s="183" t="s">
        <v>1</v>
      </c>
      <c r="B2588" s="185" t="s">
        <v>162</v>
      </c>
      <c r="C2588" s="421">
        <v>1</v>
      </c>
      <c r="D2588" s="41"/>
    </row>
    <row r="2589" spans="1:5">
      <c r="A2589" s="183" t="s">
        <v>2</v>
      </c>
      <c r="B2589" s="185" t="str">
        <f>VLOOKUP($B2588,'BANG LUONG 1'!$B$5:$AB$50,C2589,0)</f>
        <v>Đặng Hải Bằng</v>
      </c>
      <c r="C2589" s="421">
        <v>2</v>
      </c>
      <c r="D2589" s="41"/>
    </row>
    <row r="2590" spans="1:5">
      <c r="A2590" s="421" t="s">
        <v>3</v>
      </c>
      <c r="B2590" s="41" t="str">
        <f>VLOOKUP($B2588,'BANG LUONG 1'!$B$5:$AJ$47,C2590,0)</f>
        <v xml:space="preserve">Công nhân </v>
      </c>
      <c r="C2590" s="421">
        <v>3</v>
      </c>
      <c r="D2590" s="41"/>
    </row>
    <row r="2591" spans="1:5">
      <c r="A2591" s="421" t="s">
        <v>376</v>
      </c>
      <c r="B2591" s="410">
        <f>VLOOKUP($B2588,'BANG LUONG 1'!$B$4:$AJ$55,4,0)</f>
        <v>43523</v>
      </c>
      <c r="C2591" s="421">
        <v>4</v>
      </c>
      <c r="D2591" s="41"/>
    </row>
    <row r="2592" spans="1:5">
      <c r="A2592" s="421" t="s">
        <v>698</v>
      </c>
      <c r="B2592" s="411">
        <f>VLOOKUP(B2588,'BANG LUONG 1'!$B$4:$AJ$55,6,0)</f>
        <v>0</v>
      </c>
      <c r="C2592" s="421">
        <v>5</v>
      </c>
      <c r="D2592" s="41"/>
    </row>
    <row r="2593" spans="1:5">
      <c r="A2593" s="421" t="s">
        <v>229</v>
      </c>
      <c r="B2593" s="412">
        <f>'thang luong moi'!$F$5</f>
        <v>4012500</v>
      </c>
      <c r="C2593" s="421">
        <v>6</v>
      </c>
      <c r="D2593" s="41"/>
    </row>
    <row r="2594" spans="1:5">
      <c r="A2594" s="421" t="s">
        <v>217</v>
      </c>
      <c r="B2594" s="412" t="str">
        <f>VLOOKUP(B2588,'BANG LUONG 1'!$B$4:$AJ$55,8,0)</f>
        <v>B.05</v>
      </c>
      <c r="C2594" s="421">
        <v>7</v>
      </c>
      <c r="D2594" s="41"/>
    </row>
    <row r="2595" spans="1:5">
      <c r="A2595" s="421" t="s">
        <v>230</v>
      </c>
      <c r="B2595" s="412">
        <f>VLOOKUP(B2588,'BANG LUONG 1'!$B$4:$AJ$55,9,0)</f>
        <v>1</v>
      </c>
      <c r="C2595" s="421">
        <v>8</v>
      </c>
      <c r="D2595" s="41"/>
    </row>
    <row r="2596" spans="1:5">
      <c r="A2596" s="421" t="s">
        <v>538</v>
      </c>
      <c r="B2596" s="412">
        <f>VLOOKUP(B2588,'BANG LUONG 1'!$B$4:$AJ$55,11,0)</f>
        <v>4213125</v>
      </c>
      <c r="C2596" s="421">
        <v>9</v>
      </c>
      <c r="D2596" s="41"/>
    </row>
    <row r="2597" spans="1:5">
      <c r="A2597" s="421" t="s">
        <v>354</v>
      </c>
      <c r="B2597" s="412">
        <f>VLOOKUP(B2588,'BANG LUONG 1'!$B$4:$AJ$55,12,0)</f>
        <v>27</v>
      </c>
      <c r="C2597" s="421">
        <v>10</v>
      </c>
      <c r="D2597" s="41"/>
    </row>
    <row r="2598" spans="1:5">
      <c r="A2598" s="421" t="s">
        <v>534</v>
      </c>
      <c r="B2598" s="412">
        <f>VLOOKUP(B2588,'BANG LUONG 1'!$B$4:$AJ$55,13,0)</f>
        <v>4375168.269230769</v>
      </c>
      <c r="C2598" s="421">
        <v>11</v>
      </c>
      <c r="D2598" s="41"/>
    </row>
    <row r="2599" spans="1:5">
      <c r="A2599" s="421" t="s">
        <v>592</v>
      </c>
      <c r="B2599" s="412">
        <f>VLOOKUP(B2588,'BANG LUONG 1'!$B$4:$AJ$55,14,0)</f>
        <v>0</v>
      </c>
      <c r="C2599" s="421">
        <v>12</v>
      </c>
      <c r="D2599" s="41">
        <f>B2596/26*B2599</f>
        <v>0</v>
      </c>
    </row>
    <row r="2600" spans="1:5">
      <c r="A2600" s="421" t="s">
        <v>357</v>
      </c>
      <c r="B2600" s="412">
        <f>VLOOKUP(B2588,'BANG LUONG 1'!$B$4:$AJ$55,15,0)</f>
        <v>0</v>
      </c>
      <c r="C2600" s="421">
        <v>13</v>
      </c>
      <c r="D2600" s="41">
        <f>B2596/26/8*1.5*B2600</f>
        <v>0</v>
      </c>
    </row>
    <row r="2601" spans="1:5">
      <c r="A2601" s="421" t="s">
        <v>387</v>
      </c>
      <c r="B2601" s="412">
        <f>VLOOKUP(B2588,'BANG LUONG 1'!$B$4:$AJ$55,16,0)</f>
        <v>0</v>
      </c>
      <c r="C2601" s="421">
        <v>14</v>
      </c>
      <c r="D2601" s="41">
        <f>B2596/26/8*2*B2601</f>
        <v>0</v>
      </c>
    </row>
    <row r="2602" spans="1:5">
      <c r="A2602" s="421" t="s">
        <v>593</v>
      </c>
      <c r="B2602" s="412">
        <f>VLOOKUP(B2588,'BANG LUONG 1'!$B$4:$AJ$55,17,0)</f>
        <v>0</v>
      </c>
      <c r="C2602" s="421"/>
      <c r="D2602" s="41">
        <f>(B2596/26)*B2602</f>
        <v>0</v>
      </c>
    </row>
    <row r="2603" spans="1:5">
      <c r="A2603" s="421" t="s">
        <v>388</v>
      </c>
      <c r="B2603" s="412">
        <f>VLOOKUP(B2588,'BANG LUONG 1'!$B$4:$AJ$55,18,0)</f>
        <v>0</v>
      </c>
      <c r="C2603" s="421">
        <v>15</v>
      </c>
      <c r="D2603" s="41">
        <f>(B2596/26*B2603)*3</f>
        <v>0</v>
      </c>
    </row>
    <row r="2604" spans="1:5">
      <c r="A2604" s="421" t="s">
        <v>533</v>
      </c>
      <c r="B2604" s="412">
        <f>VLOOKUP(B2588,'BANG LUONG 1'!$B$4:$AJ$55,19,0)</f>
        <v>4375168.269230769</v>
      </c>
      <c r="C2604" s="183">
        <v>16</v>
      </c>
      <c r="D2604" s="185">
        <f>B2598+D2600+D2601+D2599+D2603+D2602</f>
        <v>4375168.269230769</v>
      </c>
      <c r="E2604" s="108"/>
    </row>
    <row r="2605" spans="1:5">
      <c r="A2605" s="421" t="s">
        <v>535</v>
      </c>
      <c r="B2605" s="412">
        <f>VLOOKUP(B2588,'BANG LUONG 1'!$B$4:$AJ$55,20,0)</f>
        <v>-4375168.269230769</v>
      </c>
      <c r="C2605" s="421">
        <v>17</v>
      </c>
      <c r="D2605" s="41"/>
    </row>
    <row r="2606" spans="1:5">
      <c r="A2606" s="421" t="s">
        <v>370</v>
      </c>
      <c r="B2606" s="412">
        <f>VLOOKUP(B2588,'BANG LUONG 1'!$B$4:$AJ$55,22,0)</f>
        <v>0</v>
      </c>
      <c r="C2606" s="421">
        <v>18</v>
      </c>
      <c r="D2606" s="41"/>
    </row>
    <row r="2607" spans="1:5">
      <c r="A2607" s="421" t="s">
        <v>371</v>
      </c>
      <c r="B2607" s="412">
        <f>VLOOKUP(B2588,'BANG LUONG 1'!$B$4:$AJ$55,23,0)</f>
        <v>300000</v>
      </c>
      <c r="C2607" s="421">
        <v>19</v>
      </c>
      <c r="D2607" s="41"/>
    </row>
    <row r="2608" spans="1:5">
      <c r="A2608" s="421" t="s">
        <v>560</v>
      </c>
      <c r="B2608" s="412">
        <f>VLOOKUP(B2588,'BANG LUONG 1'!$B$4:$AJ$55,24,0)</f>
        <v>0</v>
      </c>
      <c r="C2608" s="421">
        <v>22</v>
      </c>
      <c r="D2608" s="41"/>
    </row>
    <row r="2609" spans="1:5">
      <c r="A2609" s="183" t="s">
        <v>237</v>
      </c>
      <c r="B2609" s="415">
        <f>VLOOKUP(B2588,'BANG LUONG 1'!$B$4:$AJ$55,26,0)</f>
        <v>300000</v>
      </c>
      <c r="C2609" s="421">
        <v>24</v>
      </c>
      <c r="D2609" s="41"/>
    </row>
    <row r="2610" spans="1:5">
      <c r="A2610" s="421" t="s">
        <v>545</v>
      </c>
      <c r="B2610" s="412">
        <f>VLOOKUP(B2588,'BANG LUONG 1'!$B$4:$AJ$55,27,0)</f>
        <v>0</v>
      </c>
      <c r="C2610" s="421">
        <v>25</v>
      </c>
      <c r="D2610" s="41"/>
    </row>
    <row r="2611" spans="1:5">
      <c r="A2611" s="421" t="s">
        <v>544</v>
      </c>
      <c r="B2611" s="412">
        <f>VLOOKUP(B2588,'BANG LUONG 1'!$B$4:$AJ$55,28,0)</f>
        <v>0</v>
      </c>
      <c r="C2611" s="421">
        <v>26</v>
      </c>
      <c r="D2611" s="41"/>
    </row>
    <row r="2612" spans="1:5">
      <c r="A2612" s="421" t="s">
        <v>713</v>
      </c>
      <c r="B2612" s="415">
        <f>VLOOKUP(B2588,'BANG LUONG 1'!$B$4:$AJ$55,32,0)</f>
        <v>0</v>
      </c>
      <c r="C2612" s="421"/>
      <c r="D2612" s="41"/>
    </row>
    <row r="2613" spans="1:5">
      <c r="A2613" s="421" t="s">
        <v>714</v>
      </c>
      <c r="B2613" s="415">
        <f>VLOOKUP(B2588,'BANG LUONG 1'!$B$4:$AJ$55,33,0)</f>
        <v>0</v>
      </c>
      <c r="C2613" s="421"/>
      <c r="D2613" s="41"/>
    </row>
    <row r="2614" spans="1:5">
      <c r="A2614" s="183" t="s">
        <v>707</v>
      </c>
      <c r="B2614" s="415">
        <f>VLOOKUP(B2588,'BANG LUONG 1'!$B$4:$AJ$55,34,0)</f>
        <v>0</v>
      </c>
      <c r="C2614" s="421"/>
      <c r="D2614" s="41"/>
      <c r="E2614" s="108" t="str">
        <f>B2589</f>
        <v>Đặng Hải Bằng</v>
      </c>
    </row>
    <row r="2615" spans="1:5">
      <c r="A2615" s="183" t="s">
        <v>546</v>
      </c>
      <c r="B2615" s="415">
        <f>VLOOKUP(B2588,'BANG LUONG 1'!$B$4:$AJ$55,35,0)</f>
        <v>300000</v>
      </c>
      <c r="C2615" s="421"/>
      <c r="D2615" s="41"/>
    </row>
    <row r="2616" spans="1:5">
      <c r="A2616" s="183"/>
      <c r="B2616" s="412"/>
      <c r="C2616" s="421">
        <v>27</v>
      </c>
      <c r="D2616" s="185"/>
    </row>
    <row r="2617" spans="1:5">
      <c r="A2617" s="184" t="s">
        <v>549</v>
      </c>
      <c r="B2617" s="424">
        <f>'BANG LUONG 1'!$P$2</f>
        <v>43702</v>
      </c>
    </row>
    <row r="2618" spans="1:5">
      <c r="A2618" s="183" t="s">
        <v>1</v>
      </c>
      <c r="B2618" s="185" t="s">
        <v>162</v>
      </c>
      <c r="C2618" s="421">
        <v>1</v>
      </c>
      <c r="D2618" s="41"/>
    </row>
    <row r="2619" spans="1:5">
      <c r="A2619" s="183" t="s">
        <v>2</v>
      </c>
      <c r="B2619" s="185" t="str">
        <f>VLOOKUP($B2618,'BANG LUONG 1'!$B$5:$AB$50,C2619,0)</f>
        <v>Đặng Hải Bằng</v>
      </c>
      <c r="C2619" s="421">
        <v>2</v>
      </c>
      <c r="D2619" s="41"/>
    </row>
    <row r="2620" spans="1:5">
      <c r="A2620" s="421" t="s">
        <v>3</v>
      </c>
      <c r="B2620" s="41" t="str">
        <f>VLOOKUP($B2618,'BANG LUONG 1'!$B$5:$AJ$47,C2620,0)</f>
        <v xml:space="preserve">Công nhân </v>
      </c>
      <c r="C2620" s="421">
        <v>3</v>
      </c>
      <c r="D2620" s="41"/>
    </row>
    <row r="2621" spans="1:5">
      <c r="A2621" s="421" t="s">
        <v>376</v>
      </c>
      <c r="B2621" s="410">
        <f>VLOOKUP($B2618,'BANG LUONG 1'!$B$4:$AJ$55,4,0)</f>
        <v>43523</v>
      </c>
      <c r="C2621" s="421">
        <v>4</v>
      </c>
      <c r="D2621" s="41"/>
    </row>
    <row r="2622" spans="1:5">
      <c r="A2622" s="421" t="s">
        <v>698</v>
      </c>
      <c r="B2622" s="411">
        <f>VLOOKUP(B2618,'BANG LUONG 1'!$B$4:$AJ$55,6,0)</f>
        <v>0</v>
      </c>
      <c r="C2622" s="421">
        <v>5</v>
      </c>
      <c r="D2622" s="41"/>
    </row>
    <row r="2623" spans="1:5">
      <c r="A2623" s="421" t="s">
        <v>229</v>
      </c>
      <c r="B2623" s="412">
        <f>'thang luong moi'!$F$5</f>
        <v>4012500</v>
      </c>
      <c r="C2623" s="421">
        <v>6</v>
      </c>
      <c r="D2623" s="41"/>
    </row>
    <row r="2624" spans="1:5">
      <c r="A2624" s="421" t="s">
        <v>217</v>
      </c>
      <c r="B2624" s="412" t="str">
        <f>VLOOKUP(B2618,'BANG LUONG 1'!$B$4:$AJ$55,8,0)</f>
        <v>B.05</v>
      </c>
      <c r="C2624" s="421">
        <v>7</v>
      </c>
      <c r="D2624" s="41"/>
    </row>
    <row r="2625" spans="1:5">
      <c r="A2625" s="421" t="s">
        <v>230</v>
      </c>
      <c r="B2625" s="412">
        <f>VLOOKUP(B2618,'BANG LUONG 1'!$B$4:$AJ$55,9,0)</f>
        <v>1</v>
      </c>
      <c r="C2625" s="421">
        <v>8</v>
      </c>
      <c r="D2625" s="41"/>
    </row>
    <row r="2626" spans="1:5">
      <c r="A2626" s="421" t="s">
        <v>538</v>
      </c>
      <c r="B2626" s="412">
        <f>VLOOKUP(B2618,'BANG LUONG 1'!$B$4:$AJ$55,11,0)</f>
        <v>4213125</v>
      </c>
      <c r="C2626" s="421">
        <v>9</v>
      </c>
      <c r="D2626" s="41"/>
    </row>
    <row r="2627" spans="1:5">
      <c r="A2627" s="421" t="s">
        <v>354</v>
      </c>
      <c r="B2627" s="412">
        <f>VLOOKUP(B2618,'BANG LUONG 1'!$B$4:$AJ$55,12,0)</f>
        <v>27</v>
      </c>
      <c r="C2627" s="421">
        <v>10</v>
      </c>
      <c r="D2627" s="41"/>
    </row>
    <row r="2628" spans="1:5">
      <c r="A2628" s="421" t="s">
        <v>534</v>
      </c>
      <c r="B2628" s="412">
        <f>VLOOKUP(B2618,'BANG LUONG 1'!$B$4:$AJ$55,13,0)</f>
        <v>4375168.269230769</v>
      </c>
      <c r="C2628" s="421">
        <v>11</v>
      </c>
      <c r="D2628" s="41"/>
    </row>
    <row r="2629" spans="1:5">
      <c r="A2629" s="421" t="s">
        <v>592</v>
      </c>
      <c r="B2629" s="412">
        <f>VLOOKUP(B2618,'BANG LUONG 1'!$B$4:$AJ$55,14,0)</f>
        <v>0</v>
      </c>
      <c r="C2629" s="421">
        <v>12</v>
      </c>
      <c r="D2629" s="41">
        <f>B2626/26*B2629</f>
        <v>0</v>
      </c>
    </row>
    <row r="2630" spans="1:5">
      <c r="A2630" s="421" t="s">
        <v>357</v>
      </c>
      <c r="B2630" s="412">
        <f>VLOOKUP(B2618,'BANG LUONG 1'!$B$4:$AJ$55,15,0)</f>
        <v>0</v>
      </c>
      <c r="C2630" s="421">
        <v>13</v>
      </c>
      <c r="D2630" s="41">
        <f>B2626/26/8*1.5*B2630</f>
        <v>0</v>
      </c>
    </row>
    <row r="2631" spans="1:5">
      <c r="A2631" s="421" t="s">
        <v>387</v>
      </c>
      <c r="B2631" s="412">
        <f>VLOOKUP(B2618,'BANG LUONG 1'!$B$4:$AJ$55,16,0)</f>
        <v>0</v>
      </c>
      <c r="C2631" s="421">
        <v>14</v>
      </c>
      <c r="D2631" s="41">
        <f>B2626/26/8*2*B2631</f>
        <v>0</v>
      </c>
    </row>
    <row r="2632" spans="1:5">
      <c r="A2632" s="421" t="s">
        <v>593</v>
      </c>
      <c r="B2632" s="412">
        <f>VLOOKUP(B2618,'BANG LUONG 1'!$B$4:$AJ$55,17,0)</f>
        <v>0</v>
      </c>
      <c r="C2632" s="421"/>
      <c r="D2632" s="41">
        <f>(B2626/26)*B2632</f>
        <v>0</v>
      </c>
    </row>
    <row r="2633" spans="1:5">
      <c r="A2633" s="421" t="s">
        <v>388</v>
      </c>
      <c r="B2633" s="412">
        <f>VLOOKUP(B2618,'BANG LUONG 1'!$B$4:$AJ$55,18,0)</f>
        <v>0</v>
      </c>
      <c r="C2633" s="421">
        <v>15</v>
      </c>
      <c r="D2633" s="41">
        <f>(B2626/26*B2633)*3</f>
        <v>0</v>
      </c>
    </row>
    <row r="2634" spans="1:5">
      <c r="A2634" s="421" t="s">
        <v>533</v>
      </c>
      <c r="B2634" s="412">
        <f>VLOOKUP(B2618,'BANG LUONG 1'!$B$4:$AJ$55,19,0)</f>
        <v>4375168.269230769</v>
      </c>
      <c r="C2634" s="183">
        <v>16</v>
      </c>
      <c r="D2634" s="185">
        <f>B2628+D2630+D2631+D2629+D2633+D2632</f>
        <v>4375168.269230769</v>
      </c>
      <c r="E2634" s="108"/>
    </row>
    <row r="2635" spans="1:5">
      <c r="A2635" s="421" t="s">
        <v>535</v>
      </c>
      <c r="B2635" s="412">
        <f>VLOOKUP(B2618,'BANG LUONG 1'!$B$4:$AJ$55,20,0)</f>
        <v>-4375168.269230769</v>
      </c>
      <c r="C2635" s="421">
        <v>17</v>
      </c>
      <c r="D2635" s="41"/>
    </row>
    <row r="2636" spans="1:5">
      <c r="A2636" s="421" t="s">
        <v>370</v>
      </c>
      <c r="B2636" s="412">
        <f>VLOOKUP(B2618,'BANG LUONG 1'!$B$4:$AJ$55,22,0)</f>
        <v>0</v>
      </c>
      <c r="C2636" s="421">
        <v>18</v>
      </c>
      <c r="D2636" s="41"/>
    </row>
    <row r="2637" spans="1:5">
      <c r="A2637" s="421" t="s">
        <v>371</v>
      </c>
      <c r="B2637" s="412">
        <f>VLOOKUP(B2618,'BANG LUONG 1'!$B$4:$AJ$55,23,0)</f>
        <v>300000</v>
      </c>
      <c r="C2637" s="421">
        <v>19</v>
      </c>
      <c r="D2637" s="41"/>
    </row>
    <row r="2638" spans="1:5">
      <c r="A2638" s="421" t="s">
        <v>560</v>
      </c>
      <c r="B2638" s="412">
        <f>VLOOKUP(B2618,'BANG LUONG 1'!$B$4:$AJ$55,24,0)</f>
        <v>0</v>
      </c>
      <c r="C2638" s="421">
        <v>22</v>
      </c>
      <c r="D2638" s="41"/>
    </row>
    <row r="2639" spans="1:5">
      <c r="A2639" s="183" t="s">
        <v>237</v>
      </c>
      <c r="B2639" s="415">
        <f>VLOOKUP(B2618,'BANG LUONG 1'!$B$4:$AJ$55,26,0)</f>
        <v>300000</v>
      </c>
      <c r="C2639" s="421">
        <v>24</v>
      </c>
      <c r="D2639" s="41"/>
    </row>
    <row r="2640" spans="1:5">
      <c r="A2640" s="421" t="s">
        <v>545</v>
      </c>
      <c r="B2640" s="412">
        <f>VLOOKUP(B2618,'BANG LUONG 1'!$B$4:$AJ$55,27,0)</f>
        <v>0</v>
      </c>
      <c r="C2640" s="421">
        <v>25</v>
      </c>
      <c r="D2640" s="41"/>
    </row>
    <row r="2641" spans="1:5">
      <c r="A2641" s="421" t="s">
        <v>544</v>
      </c>
      <c r="B2641" s="412">
        <f>VLOOKUP(B2618,'BANG LUONG 1'!$B$4:$AJ$55,28,0)</f>
        <v>0</v>
      </c>
      <c r="C2641" s="421">
        <v>26</v>
      </c>
      <c r="D2641" s="41"/>
    </row>
    <row r="2642" spans="1:5">
      <c r="A2642" s="421" t="s">
        <v>713</v>
      </c>
      <c r="B2642" s="415">
        <f>VLOOKUP(B2618,'BANG LUONG 1'!$B$4:$AJ$55,32,0)</f>
        <v>0</v>
      </c>
      <c r="C2642" s="421"/>
      <c r="D2642" s="41"/>
    </row>
    <row r="2643" spans="1:5">
      <c r="A2643" s="421" t="s">
        <v>714</v>
      </c>
      <c r="B2643" s="415">
        <f>VLOOKUP(B2618,'BANG LUONG 1'!$B$4:$AJ$55,33,0)</f>
        <v>0</v>
      </c>
      <c r="C2643" s="421"/>
      <c r="D2643" s="41"/>
    </row>
    <row r="2644" spans="1:5">
      <c r="A2644" s="183" t="s">
        <v>707</v>
      </c>
      <c r="B2644" s="415">
        <f>VLOOKUP(B2618,'BANG LUONG 1'!$B$4:$AJ$55,34,0)</f>
        <v>0</v>
      </c>
      <c r="C2644" s="421"/>
      <c r="D2644" s="41"/>
      <c r="E2644" s="108" t="str">
        <f>B2619</f>
        <v>Đặng Hải Bằng</v>
      </c>
    </row>
    <row r="2645" spans="1:5">
      <c r="A2645" s="183" t="s">
        <v>546</v>
      </c>
      <c r="B2645" s="415">
        <f>VLOOKUP(B2618,'BANG LUONG 1'!$B$4:$AJ$55,35,0)</f>
        <v>300000</v>
      </c>
      <c r="C2645" s="421"/>
      <c r="D2645" s="41"/>
    </row>
    <row r="2646" spans="1:5">
      <c r="A2646" s="183"/>
      <c r="B2646" s="412"/>
      <c r="C2646" s="421">
        <v>27</v>
      </c>
      <c r="D2646" s="185"/>
    </row>
    <row r="2647" spans="1:5">
      <c r="A2647" s="184" t="s">
        <v>549</v>
      </c>
      <c r="B2647" s="424">
        <f>'BANG LUONG 1'!$P$2</f>
        <v>43702</v>
      </c>
    </row>
    <row r="2648" spans="1:5">
      <c r="A2648" s="183" t="s">
        <v>1</v>
      </c>
      <c r="B2648" s="185" t="s">
        <v>163</v>
      </c>
      <c r="C2648" s="421">
        <v>1</v>
      </c>
      <c r="D2648" s="41"/>
    </row>
    <row r="2649" spans="1:5">
      <c r="A2649" s="183" t="s">
        <v>2</v>
      </c>
      <c r="B2649" s="185" t="str">
        <f>VLOOKUP($B2648,'BANG LUONG 1'!$B$5:$AB$38,C2649,0)</f>
        <v>Lương Trường Giang</v>
      </c>
      <c r="C2649" s="421">
        <v>2</v>
      </c>
      <c r="D2649" s="41"/>
    </row>
    <row r="2650" spans="1:5">
      <c r="A2650" s="421" t="s">
        <v>3</v>
      </c>
      <c r="B2650" s="41" t="str">
        <f>VLOOKUP($B2648,'BANG LUONG 1'!$B$5:$AJ$47,C2650,0)</f>
        <v xml:space="preserve">Công nhân </v>
      </c>
      <c r="C2650" s="421">
        <v>3</v>
      </c>
      <c r="D2650" s="41"/>
    </row>
    <row r="2651" spans="1:5">
      <c r="A2651" s="421" t="s">
        <v>376</v>
      </c>
      <c r="B2651" s="410">
        <f>VLOOKUP($B2648,'BANG LUONG 1'!$B$4:$AJ$55,4,0)</f>
        <v>43619</v>
      </c>
      <c r="C2651" s="421">
        <v>4</v>
      </c>
      <c r="D2651" s="41"/>
    </row>
    <row r="2652" spans="1:5">
      <c r="A2652" s="421" t="s">
        <v>698</v>
      </c>
      <c r="B2652" s="411">
        <f>VLOOKUP(B2648,'BANG LUONG 1'!$B$4:$AJ$55,6,0)</f>
        <v>0</v>
      </c>
      <c r="C2652" s="421">
        <v>5</v>
      </c>
      <c r="D2652" s="41"/>
    </row>
    <row r="2653" spans="1:5">
      <c r="A2653" s="421" t="s">
        <v>229</v>
      </c>
      <c r="B2653" s="412">
        <f>'thang luong moi'!$F$5</f>
        <v>4012500</v>
      </c>
      <c r="C2653" s="421">
        <v>6</v>
      </c>
      <c r="D2653" s="41"/>
    </row>
    <row r="2654" spans="1:5">
      <c r="A2654" s="421" t="s">
        <v>217</v>
      </c>
      <c r="B2654" s="412" t="str">
        <f>VLOOKUP(B2648,'BANG LUONG 1'!$B$4:$AJ$55,8,0)</f>
        <v>B.05</v>
      </c>
      <c r="C2654" s="421">
        <v>7</v>
      </c>
      <c r="D2654" s="41"/>
    </row>
    <row r="2655" spans="1:5">
      <c r="A2655" s="421" t="s">
        <v>230</v>
      </c>
      <c r="B2655" s="412">
        <f>VLOOKUP(B2648,'BANG LUONG 1'!$B$4:$AJ$55,9,0)</f>
        <v>1</v>
      </c>
      <c r="C2655" s="421">
        <v>8</v>
      </c>
      <c r="D2655" s="41"/>
    </row>
    <row r="2656" spans="1:5">
      <c r="A2656" s="421" t="s">
        <v>538</v>
      </c>
      <c r="B2656" s="412">
        <f>VLOOKUP(B2648,'BANG LUONG 1'!$B$4:$AJ$55,11,0)</f>
        <v>4213125</v>
      </c>
      <c r="C2656" s="421">
        <v>9</v>
      </c>
      <c r="D2656" s="41"/>
    </row>
    <row r="2657" spans="1:5">
      <c r="A2657" s="421" t="s">
        <v>354</v>
      </c>
      <c r="B2657" s="412">
        <f>VLOOKUP(B2648,'BANG LUONG 1'!$B$4:$AJ$55,12,0)</f>
        <v>27</v>
      </c>
      <c r="C2657" s="421">
        <v>10</v>
      </c>
      <c r="D2657" s="41"/>
    </row>
    <row r="2658" spans="1:5">
      <c r="A2658" s="421" t="s">
        <v>534</v>
      </c>
      <c r="B2658" s="412">
        <f>VLOOKUP(B2648,'BANG LUONG 1'!$B$4:$AJ$55,13,0)</f>
        <v>4375168.269230769</v>
      </c>
      <c r="C2658" s="421">
        <v>11</v>
      </c>
      <c r="D2658" s="41"/>
    </row>
    <row r="2659" spans="1:5">
      <c r="A2659" s="421" t="s">
        <v>592</v>
      </c>
      <c r="B2659" s="412">
        <f>VLOOKUP(B2648,'BANG LUONG 1'!$B$4:$AJ$55,14,0)</f>
        <v>0</v>
      </c>
      <c r="C2659" s="421">
        <v>12</v>
      </c>
      <c r="D2659" s="41">
        <f>B2656/26*B2659</f>
        <v>0</v>
      </c>
    </row>
    <row r="2660" spans="1:5">
      <c r="A2660" s="421" t="s">
        <v>357</v>
      </c>
      <c r="B2660" s="412">
        <f>VLOOKUP(B2648,'BANG LUONG 1'!$B$4:$AJ$55,15,0)</f>
        <v>0</v>
      </c>
      <c r="C2660" s="421">
        <v>13</v>
      </c>
      <c r="D2660" s="41">
        <f>B2656/26/8*1.5*B2660</f>
        <v>0</v>
      </c>
    </row>
    <row r="2661" spans="1:5">
      <c r="A2661" s="421" t="s">
        <v>387</v>
      </c>
      <c r="B2661" s="412">
        <f>VLOOKUP(B2648,'BANG LUONG 1'!$B$4:$AJ$55,16,0)</f>
        <v>0</v>
      </c>
      <c r="C2661" s="421">
        <v>14</v>
      </c>
      <c r="D2661" s="41">
        <f>B2656/26/8*2*B2661</f>
        <v>0</v>
      </c>
    </row>
    <row r="2662" spans="1:5">
      <c r="A2662" s="421" t="s">
        <v>593</v>
      </c>
      <c r="B2662" s="412">
        <f>VLOOKUP(B2648,'BANG LUONG 1'!$B$4:$AJ$55,17,0)</f>
        <v>0</v>
      </c>
      <c r="C2662" s="421"/>
      <c r="D2662" s="41">
        <f>(B2656/26)*B2662</f>
        <v>0</v>
      </c>
    </row>
    <row r="2663" spans="1:5">
      <c r="A2663" s="421" t="s">
        <v>388</v>
      </c>
      <c r="B2663" s="412">
        <f>VLOOKUP(B2648,'BANG LUONG 1'!$B$4:$AJ$55,18,0)</f>
        <v>0</v>
      </c>
      <c r="C2663" s="421">
        <v>15</v>
      </c>
      <c r="D2663" s="41">
        <f>(B2656/26*B2663)*3</f>
        <v>0</v>
      </c>
    </row>
    <row r="2664" spans="1:5">
      <c r="A2664" s="421" t="s">
        <v>533</v>
      </c>
      <c r="B2664" s="412">
        <f>VLOOKUP(B2648,'BANG LUONG 1'!$B$4:$AJ$55,19,0)</f>
        <v>4375168.269230769</v>
      </c>
      <c r="C2664" s="183">
        <v>16</v>
      </c>
      <c r="D2664" s="185">
        <f>B2658+D2660+D2661+D2659+D2663+D2662</f>
        <v>4375168.269230769</v>
      </c>
      <c r="E2664" s="108"/>
    </row>
    <row r="2665" spans="1:5">
      <c r="A2665" s="421" t="s">
        <v>535</v>
      </c>
      <c r="B2665" s="412">
        <f>VLOOKUP(B2648,'BANG LUONG 1'!$B$4:$AJ$55,20,0)</f>
        <v>-4130756.7307692305</v>
      </c>
      <c r="C2665" s="421">
        <v>17</v>
      </c>
      <c r="D2665" s="41"/>
    </row>
    <row r="2666" spans="1:5">
      <c r="A2666" s="421" t="s">
        <v>370</v>
      </c>
      <c r="B2666" s="412">
        <f>VLOOKUP(B2648,'BANG LUONG 1'!$B$4:$AJ$55,22,0)</f>
        <v>0</v>
      </c>
      <c r="C2666" s="421">
        <v>18</v>
      </c>
      <c r="D2666" s="41"/>
    </row>
    <row r="2667" spans="1:5">
      <c r="A2667" s="421" t="s">
        <v>371</v>
      </c>
      <c r="B2667" s="412">
        <f>VLOOKUP(B2648,'BANG LUONG 1'!$B$4:$AJ$55,23,0)</f>
        <v>300000</v>
      </c>
      <c r="C2667" s="421">
        <v>19</v>
      </c>
      <c r="D2667" s="41"/>
    </row>
    <row r="2668" spans="1:5">
      <c r="A2668" s="421" t="s">
        <v>560</v>
      </c>
      <c r="B2668" s="412">
        <f>VLOOKUP(B2648,'BANG LUONG 1'!$B$4:$AJ$55,24,0)</f>
        <v>0</v>
      </c>
      <c r="C2668" s="421">
        <v>22</v>
      </c>
      <c r="D2668" s="41"/>
    </row>
    <row r="2669" spans="1:5">
      <c r="A2669" s="183" t="s">
        <v>237</v>
      </c>
      <c r="B2669" s="415">
        <f>VLOOKUP(B2648,'BANG LUONG 1'!$B$4:$AJ$55,26,0)</f>
        <v>544411.5384615385</v>
      </c>
      <c r="C2669" s="421">
        <v>24</v>
      </c>
      <c r="D2669" s="41"/>
    </row>
    <row r="2670" spans="1:5">
      <c r="A2670" s="421" t="s">
        <v>545</v>
      </c>
      <c r="B2670" s="412">
        <f>VLOOKUP(B2648,'BANG LUONG 1'!$B$4:$AJ$55,27,0)</f>
        <v>0</v>
      </c>
      <c r="C2670" s="421">
        <v>25</v>
      </c>
      <c r="D2670" s="41"/>
    </row>
    <row r="2671" spans="1:5">
      <c r="A2671" s="421" t="s">
        <v>544</v>
      </c>
      <c r="B2671" s="412">
        <f>VLOOKUP(B2648,'BANG LUONG 1'!$B$4:$AJ$55,28,0)</f>
        <v>0</v>
      </c>
      <c r="C2671" s="421">
        <v>26</v>
      </c>
      <c r="D2671" s="41"/>
    </row>
    <row r="2672" spans="1:5">
      <c r="A2672" s="421" t="s">
        <v>713</v>
      </c>
      <c r="B2672" s="415">
        <f>VLOOKUP(B2648,'BANG LUONG 1'!$B$4:$AJ$55,32,0)</f>
        <v>0</v>
      </c>
      <c r="C2672" s="421"/>
      <c r="D2672" s="41"/>
    </row>
    <row r="2673" spans="1:5">
      <c r="A2673" s="421" t="s">
        <v>714</v>
      </c>
      <c r="B2673" s="415">
        <f>VLOOKUP(B2648,'BANG LUONG 1'!$B$4:$AJ$55,33,0)</f>
        <v>0</v>
      </c>
      <c r="C2673" s="421"/>
      <c r="D2673" s="41"/>
    </row>
    <row r="2674" spans="1:5">
      <c r="A2674" s="183" t="s">
        <v>707</v>
      </c>
      <c r="B2674" s="415">
        <f>VLOOKUP(B2648,'BANG LUONG 1'!$B$4:$AJ$55,34,0)</f>
        <v>0</v>
      </c>
      <c r="C2674" s="421"/>
      <c r="D2674" s="41"/>
      <c r="E2674" s="108" t="str">
        <f>B2649</f>
        <v>Lương Trường Giang</v>
      </c>
    </row>
    <row r="2675" spans="1:5">
      <c r="A2675" s="183" t="s">
        <v>546</v>
      </c>
      <c r="B2675" s="415">
        <f>VLOOKUP(B2648,'BANG LUONG 1'!$B$4:$AJ$55,35,0)</f>
        <v>544000</v>
      </c>
      <c r="C2675" s="421"/>
      <c r="D2675" s="41"/>
    </row>
    <row r="2676" spans="1:5">
      <c r="A2676" s="183"/>
      <c r="B2676" s="412"/>
      <c r="C2676" s="421">
        <v>27</v>
      </c>
      <c r="D2676" s="185"/>
    </row>
    <row r="2677" spans="1:5">
      <c r="A2677" s="184" t="s">
        <v>549</v>
      </c>
      <c r="B2677" s="424">
        <f>'BANG LUONG 1'!$P$2</f>
        <v>43702</v>
      </c>
    </row>
    <row r="2678" spans="1:5">
      <c r="A2678" s="183" t="s">
        <v>1</v>
      </c>
      <c r="B2678" s="185" t="s">
        <v>163</v>
      </c>
      <c r="C2678" s="421">
        <v>1</v>
      </c>
      <c r="D2678" s="41"/>
    </row>
    <row r="2679" spans="1:5">
      <c r="A2679" s="183" t="s">
        <v>2</v>
      </c>
      <c r="B2679" s="185" t="str">
        <f>VLOOKUP($B2678,'BANG LUONG 1'!$B$5:$AB$38,C2679,0)</f>
        <v>Lương Trường Giang</v>
      </c>
      <c r="C2679" s="421">
        <v>2</v>
      </c>
      <c r="D2679" s="41"/>
    </row>
    <row r="2680" spans="1:5">
      <c r="A2680" s="421" t="s">
        <v>3</v>
      </c>
      <c r="B2680" s="41" t="str">
        <f>VLOOKUP($B2678,'BANG LUONG 1'!$B$5:$AJ$47,C2680,0)</f>
        <v xml:space="preserve">Công nhân </v>
      </c>
      <c r="C2680" s="421">
        <v>3</v>
      </c>
      <c r="D2680" s="41"/>
    </row>
    <row r="2681" spans="1:5">
      <c r="A2681" s="421" t="s">
        <v>376</v>
      </c>
      <c r="B2681" s="410">
        <f>VLOOKUP($B2678,'BANG LUONG 1'!$B$4:$AJ$55,4,0)</f>
        <v>43619</v>
      </c>
      <c r="C2681" s="421">
        <v>4</v>
      </c>
      <c r="D2681" s="41"/>
    </row>
    <row r="2682" spans="1:5">
      <c r="A2682" s="421" t="s">
        <v>698</v>
      </c>
      <c r="B2682" s="411">
        <f>VLOOKUP(B2678,'BANG LUONG 1'!$B$4:$AJ$55,6,0)</f>
        <v>0</v>
      </c>
      <c r="C2682" s="421">
        <v>5</v>
      </c>
      <c r="D2682" s="41"/>
    </row>
    <row r="2683" spans="1:5">
      <c r="A2683" s="421" t="s">
        <v>229</v>
      </c>
      <c r="B2683" s="412">
        <f>'thang luong moi'!$F$5</f>
        <v>4012500</v>
      </c>
      <c r="C2683" s="421">
        <v>6</v>
      </c>
      <c r="D2683" s="41"/>
    </row>
    <row r="2684" spans="1:5">
      <c r="A2684" s="421" t="s">
        <v>217</v>
      </c>
      <c r="B2684" s="412" t="str">
        <f>VLOOKUP(B2678,'BANG LUONG 1'!$B$4:$AJ$55,8,0)</f>
        <v>B.05</v>
      </c>
      <c r="C2684" s="421">
        <v>7</v>
      </c>
      <c r="D2684" s="41"/>
    </row>
    <row r="2685" spans="1:5">
      <c r="A2685" s="421" t="s">
        <v>230</v>
      </c>
      <c r="B2685" s="412">
        <f>VLOOKUP(B2678,'BANG LUONG 1'!$B$4:$AJ$55,9,0)</f>
        <v>1</v>
      </c>
      <c r="C2685" s="421">
        <v>8</v>
      </c>
      <c r="D2685" s="41"/>
    </row>
    <row r="2686" spans="1:5">
      <c r="A2686" s="421" t="s">
        <v>538</v>
      </c>
      <c r="B2686" s="412">
        <f>VLOOKUP(B2678,'BANG LUONG 1'!$B$4:$AJ$55,11,0)</f>
        <v>4213125</v>
      </c>
      <c r="C2686" s="421">
        <v>9</v>
      </c>
      <c r="D2686" s="41"/>
    </row>
    <row r="2687" spans="1:5">
      <c r="A2687" s="421" t="s">
        <v>354</v>
      </c>
      <c r="B2687" s="412">
        <f>VLOOKUP(B2678,'BANG LUONG 1'!$B$4:$AJ$55,12,0)</f>
        <v>27</v>
      </c>
      <c r="C2687" s="421">
        <v>10</v>
      </c>
      <c r="D2687" s="41"/>
    </row>
    <row r="2688" spans="1:5">
      <c r="A2688" s="421" t="s">
        <v>534</v>
      </c>
      <c r="B2688" s="412">
        <f>VLOOKUP(B2678,'BANG LUONG 1'!$B$4:$AJ$55,13,0)</f>
        <v>4375168.269230769</v>
      </c>
      <c r="C2688" s="421">
        <v>11</v>
      </c>
      <c r="D2688" s="41"/>
    </row>
    <row r="2689" spans="1:5">
      <c r="A2689" s="421" t="s">
        <v>592</v>
      </c>
      <c r="B2689" s="412">
        <f>VLOOKUP(B2678,'BANG LUONG 1'!$B$4:$AJ$55,14,0)</f>
        <v>0</v>
      </c>
      <c r="C2689" s="421">
        <v>12</v>
      </c>
      <c r="D2689" s="41">
        <f>B2686/26*B2689</f>
        <v>0</v>
      </c>
    </row>
    <row r="2690" spans="1:5">
      <c r="A2690" s="421" t="s">
        <v>357</v>
      </c>
      <c r="B2690" s="412">
        <f>VLOOKUP(B2678,'BANG LUONG 1'!$B$4:$AJ$55,15,0)</f>
        <v>0</v>
      </c>
      <c r="C2690" s="421">
        <v>13</v>
      </c>
      <c r="D2690" s="41">
        <f>B2686/26/8*1.5*B2690</f>
        <v>0</v>
      </c>
    </row>
    <row r="2691" spans="1:5">
      <c r="A2691" s="421" t="s">
        <v>387</v>
      </c>
      <c r="B2691" s="412">
        <f>VLOOKUP(B2678,'BANG LUONG 1'!$B$4:$AJ$55,16,0)</f>
        <v>0</v>
      </c>
      <c r="C2691" s="421">
        <v>14</v>
      </c>
      <c r="D2691" s="41">
        <f>B2686/26/8*2*B2691</f>
        <v>0</v>
      </c>
    </row>
    <row r="2692" spans="1:5">
      <c r="A2692" s="421" t="s">
        <v>593</v>
      </c>
      <c r="B2692" s="412">
        <f>VLOOKUP(B2678,'BANG LUONG 1'!$B$4:$AJ$55,17,0)</f>
        <v>0</v>
      </c>
      <c r="C2692" s="421"/>
      <c r="D2692" s="41">
        <f>(B2686/26)*B2692</f>
        <v>0</v>
      </c>
    </row>
    <row r="2693" spans="1:5">
      <c r="A2693" s="421" t="s">
        <v>388</v>
      </c>
      <c r="B2693" s="412">
        <f>VLOOKUP(B2678,'BANG LUONG 1'!$B$4:$AJ$55,18,0)</f>
        <v>0</v>
      </c>
      <c r="C2693" s="421">
        <v>15</v>
      </c>
      <c r="D2693" s="41">
        <f>(B2686/26*B2693)*3</f>
        <v>0</v>
      </c>
    </row>
    <row r="2694" spans="1:5">
      <c r="A2694" s="421" t="s">
        <v>533</v>
      </c>
      <c r="B2694" s="412">
        <f>VLOOKUP(B2678,'BANG LUONG 1'!$B$4:$AJ$55,19,0)</f>
        <v>4375168.269230769</v>
      </c>
      <c r="C2694" s="183">
        <v>16</v>
      </c>
      <c r="D2694" s="185">
        <f>B2688+D2690+D2691+D2689+D2693+D2692</f>
        <v>4375168.269230769</v>
      </c>
      <c r="E2694" s="108"/>
    </row>
    <row r="2695" spans="1:5">
      <c r="A2695" s="421" t="s">
        <v>535</v>
      </c>
      <c r="B2695" s="412">
        <f>VLOOKUP(B2678,'BANG LUONG 1'!$B$4:$AJ$55,20,0)</f>
        <v>-4130756.7307692305</v>
      </c>
      <c r="C2695" s="421">
        <v>17</v>
      </c>
      <c r="D2695" s="41"/>
    </row>
    <row r="2696" spans="1:5">
      <c r="A2696" s="421" t="s">
        <v>370</v>
      </c>
      <c r="B2696" s="412">
        <f>VLOOKUP(B2678,'BANG LUONG 1'!$B$4:$AJ$55,22,0)</f>
        <v>0</v>
      </c>
      <c r="C2696" s="421">
        <v>18</v>
      </c>
      <c r="D2696" s="41"/>
    </row>
    <row r="2697" spans="1:5">
      <c r="A2697" s="421" t="s">
        <v>371</v>
      </c>
      <c r="B2697" s="412">
        <f>VLOOKUP(B2678,'BANG LUONG 1'!$B$4:$AJ$55,23,0)</f>
        <v>300000</v>
      </c>
      <c r="C2697" s="421">
        <v>19</v>
      </c>
      <c r="D2697" s="41"/>
    </row>
    <row r="2698" spans="1:5">
      <c r="A2698" s="421" t="s">
        <v>560</v>
      </c>
      <c r="B2698" s="412">
        <f>VLOOKUP(B2678,'BANG LUONG 1'!$B$4:$AJ$55,24,0)</f>
        <v>0</v>
      </c>
      <c r="C2698" s="421">
        <v>22</v>
      </c>
      <c r="D2698" s="41"/>
    </row>
    <row r="2699" spans="1:5">
      <c r="A2699" s="183" t="s">
        <v>237</v>
      </c>
      <c r="B2699" s="415">
        <f>VLOOKUP(B2678,'BANG LUONG 1'!$B$4:$AJ$55,26,0)</f>
        <v>544411.5384615385</v>
      </c>
      <c r="C2699" s="421">
        <v>24</v>
      </c>
      <c r="D2699" s="41"/>
    </row>
    <row r="2700" spans="1:5">
      <c r="A2700" s="421" t="s">
        <v>545</v>
      </c>
      <c r="B2700" s="412">
        <f>VLOOKUP(B2678,'BANG LUONG 1'!$B$4:$AJ$55,27,0)</f>
        <v>0</v>
      </c>
      <c r="C2700" s="421">
        <v>25</v>
      </c>
      <c r="D2700" s="41"/>
    </row>
    <row r="2701" spans="1:5">
      <c r="A2701" s="421" t="s">
        <v>544</v>
      </c>
      <c r="B2701" s="412">
        <f>VLOOKUP(B2678,'BANG LUONG 1'!$B$4:$AJ$55,28,0)</f>
        <v>0</v>
      </c>
      <c r="C2701" s="421">
        <v>26</v>
      </c>
      <c r="D2701" s="41"/>
    </row>
    <row r="2702" spans="1:5">
      <c r="A2702" s="421" t="s">
        <v>713</v>
      </c>
      <c r="B2702" s="415">
        <f>VLOOKUP(B2678,'BANG LUONG 1'!$B$4:$AJ$55,32,0)</f>
        <v>0</v>
      </c>
      <c r="C2702" s="421"/>
      <c r="D2702" s="41"/>
    </row>
    <row r="2703" spans="1:5">
      <c r="A2703" s="421" t="s">
        <v>714</v>
      </c>
      <c r="B2703" s="415">
        <f>VLOOKUP(B2678,'BANG LUONG 1'!$B$4:$AJ$55,33,0)</f>
        <v>0</v>
      </c>
      <c r="C2703" s="421"/>
      <c r="D2703" s="41"/>
    </row>
    <row r="2704" spans="1:5">
      <c r="A2704" s="183" t="s">
        <v>707</v>
      </c>
      <c r="B2704" s="415">
        <f>VLOOKUP(B2678,'BANG LUONG 1'!$B$4:$AJ$55,34,0)</f>
        <v>0</v>
      </c>
      <c r="C2704" s="421"/>
      <c r="D2704" s="41"/>
      <c r="E2704" s="108" t="str">
        <f>B2679</f>
        <v>Lương Trường Giang</v>
      </c>
    </row>
    <row r="2705" spans="1:4">
      <c r="A2705" s="183" t="s">
        <v>546</v>
      </c>
      <c r="B2705" s="415">
        <f>VLOOKUP(B2678,'BANG LUONG 1'!$B$4:$AJ$55,35,0)</f>
        <v>544000</v>
      </c>
      <c r="C2705" s="421"/>
      <c r="D2705" s="41"/>
    </row>
    <row r="2706" spans="1:4">
      <c r="A2706" s="183"/>
      <c r="B2706" s="412"/>
      <c r="C2706" s="421">
        <v>27</v>
      </c>
      <c r="D2706" s="185"/>
    </row>
    <row r="2707" spans="1:4">
      <c r="A2707" s="184" t="s">
        <v>549</v>
      </c>
      <c r="B2707" s="424">
        <f>'BANG LUONG 1'!$P$2</f>
        <v>43702</v>
      </c>
    </row>
    <row r="2708" spans="1:4">
      <c r="A2708" s="183" t="s">
        <v>1</v>
      </c>
      <c r="B2708" s="185" t="s">
        <v>164</v>
      </c>
      <c r="C2708" s="421">
        <v>1</v>
      </c>
      <c r="D2708" s="41"/>
    </row>
    <row r="2709" spans="1:4">
      <c r="A2709" s="183" t="s">
        <v>2</v>
      </c>
      <c r="B2709" s="185" t="str">
        <f>VLOOKUP($B2708,'BANG LUONG 1'!$B$5:$AB$50,C2709,0)</f>
        <v>Bùi Trọng Nghĩa</v>
      </c>
      <c r="C2709" s="421">
        <v>2</v>
      </c>
      <c r="D2709" s="41"/>
    </row>
    <row r="2710" spans="1:4">
      <c r="A2710" s="421" t="s">
        <v>3</v>
      </c>
      <c r="B2710" s="41" t="str">
        <f>VLOOKUP($B2708,'BANG LUONG 1'!$B$5:$AJ$47,C2710,0)</f>
        <v xml:space="preserve">Công nhân </v>
      </c>
      <c r="C2710" s="421">
        <v>3</v>
      </c>
      <c r="D2710" s="41"/>
    </row>
    <row r="2711" spans="1:4">
      <c r="A2711" s="421" t="s">
        <v>376</v>
      </c>
      <c r="B2711" s="410">
        <f>VLOOKUP($B2708,'BANG LUONG 1'!$B$4:$AJ$55,4,0)</f>
        <v>43620</v>
      </c>
      <c r="C2711" s="421">
        <v>4</v>
      </c>
      <c r="D2711" s="41"/>
    </row>
    <row r="2712" spans="1:4">
      <c r="A2712" s="421" t="s">
        <v>698</v>
      </c>
      <c r="B2712" s="411">
        <f>VLOOKUP(B2708,'BANG LUONG 1'!$B$4:$AJ$55,6,0)</f>
        <v>0</v>
      </c>
      <c r="C2712" s="421">
        <v>5</v>
      </c>
      <c r="D2712" s="41"/>
    </row>
    <row r="2713" spans="1:4">
      <c r="A2713" s="421" t="s">
        <v>229</v>
      </c>
      <c r="B2713" s="412">
        <f>'thang luong moi'!$F$5</f>
        <v>4012500</v>
      </c>
      <c r="C2713" s="421">
        <v>6</v>
      </c>
      <c r="D2713" s="41"/>
    </row>
    <row r="2714" spans="1:4">
      <c r="A2714" s="421" t="s">
        <v>217</v>
      </c>
      <c r="B2714" s="412" t="str">
        <f>VLOOKUP(B2708,'BANG LUONG 1'!$B$4:$AJ$55,8,0)</f>
        <v>B.05</v>
      </c>
      <c r="C2714" s="421">
        <v>7</v>
      </c>
      <c r="D2714" s="41"/>
    </row>
    <row r="2715" spans="1:4">
      <c r="A2715" s="421" t="s">
        <v>230</v>
      </c>
      <c r="B2715" s="412">
        <f>VLOOKUP(B2708,'BANG LUONG 1'!$B$4:$AJ$55,9,0)</f>
        <v>1</v>
      </c>
      <c r="C2715" s="421">
        <v>8</v>
      </c>
      <c r="D2715" s="41"/>
    </row>
    <row r="2716" spans="1:4">
      <c r="A2716" s="421" t="s">
        <v>538</v>
      </c>
      <c r="B2716" s="412">
        <f>VLOOKUP(B2708,'BANG LUONG 1'!$B$4:$AJ$55,11,0)</f>
        <v>4213125</v>
      </c>
      <c r="C2716" s="421">
        <v>9</v>
      </c>
      <c r="D2716" s="41"/>
    </row>
    <row r="2717" spans="1:4">
      <c r="A2717" s="421" t="s">
        <v>354</v>
      </c>
      <c r="B2717" s="412">
        <f>VLOOKUP(B2708,'BANG LUONG 1'!$B$4:$AJ$55,12,0)</f>
        <v>27</v>
      </c>
      <c r="C2717" s="421">
        <v>10</v>
      </c>
      <c r="D2717" s="41"/>
    </row>
    <row r="2718" spans="1:4">
      <c r="A2718" s="421" t="s">
        <v>534</v>
      </c>
      <c r="B2718" s="412">
        <f>VLOOKUP(B2708,'BANG LUONG 1'!$B$4:$AJ$55,13,0)</f>
        <v>4375168.269230769</v>
      </c>
      <c r="C2718" s="421">
        <v>11</v>
      </c>
      <c r="D2718" s="41"/>
    </row>
    <row r="2719" spans="1:4">
      <c r="A2719" s="421" t="s">
        <v>592</v>
      </c>
      <c r="B2719" s="412">
        <f>VLOOKUP(B2708,'BANG LUONG 1'!$B$4:$AJ$55,14,0)</f>
        <v>0</v>
      </c>
      <c r="C2719" s="421">
        <v>12</v>
      </c>
      <c r="D2719" s="41">
        <f>B2716/26*B2719</f>
        <v>0</v>
      </c>
    </row>
    <row r="2720" spans="1:4">
      <c r="A2720" s="421" t="s">
        <v>357</v>
      </c>
      <c r="B2720" s="412">
        <f>VLOOKUP(B2708,'BANG LUONG 1'!$B$4:$AJ$55,15,0)</f>
        <v>0</v>
      </c>
      <c r="C2720" s="421">
        <v>13</v>
      </c>
      <c r="D2720" s="41">
        <f>B2716/26/8*1.5*B2720</f>
        <v>0</v>
      </c>
    </row>
    <row r="2721" spans="1:5">
      <c r="A2721" s="421" t="s">
        <v>387</v>
      </c>
      <c r="B2721" s="412">
        <f>VLOOKUP(B2708,'BANG LUONG 1'!$B$4:$AJ$55,16,0)</f>
        <v>0</v>
      </c>
      <c r="C2721" s="421">
        <v>14</v>
      </c>
      <c r="D2721" s="41">
        <f>B2716/26/8*2*B2721</f>
        <v>0</v>
      </c>
    </row>
    <row r="2722" spans="1:5">
      <c r="A2722" s="421" t="s">
        <v>593</v>
      </c>
      <c r="B2722" s="412">
        <f>VLOOKUP(B2708,'BANG LUONG 1'!$B$4:$AJ$55,17,0)</f>
        <v>0</v>
      </c>
      <c r="C2722" s="421"/>
      <c r="D2722" s="41">
        <f>(B2716/26)*B2722</f>
        <v>0</v>
      </c>
    </row>
    <row r="2723" spans="1:5">
      <c r="A2723" s="421" t="s">
        <v>388</v>
      </c>
      <c r="B2723" s="412">
        <f>VLOOKUP(B2708,'BANG LUONG 1'!$B$4:$AJ$55,18,0)</f>
        <v>0</v>
      </c>
      <c r="C2723" s="421">
        <v>15</v>
      </c>
      <c r="D2723" s="41">
        <f>(B2716/26*B2723)*3</f>
        <v>0</v>
      </c>
    </row>
    <row r="2724" spans="1:5">
      <c r="A2724" s="421" t="s">
        <v>533</v>
      </c>
      <c r="B2724" s="412">
        <f>VLOOKUP(B2708,'BANG LUONG 1'!$B$4:$AJ$55,19,0)</f>
        <v>4375168.269230769</v>
      </c>
      <c r="C2724" s="183">
        <v>16</v>
      </c>
      <c r="D2724" s="185">
        <f>B2718+D2720+D2721+D2719+D2723+D2722</f>
        <v>4375168.269230769</v>
      </c>
      <c r="E2724" s="108"/>
    </row>
    <row r="2725" spans="1:5">
      <c r="A2725" s="421" t="s">
        <v>535</v>
      </c>
      <c r="B2725" s="412">
        <f>VLOOKUP(B2708,'BANG LUONG 1'!$B$4:$AJ$55,20,0)</f>
        <v>-4117214.423076923</v>
      </c>
      <c r="C2725" s="421">
        <v>17</v>
      </c>
      <c r="D2725" s="41"/>
    </row>
    <row r="2726" spans="1:5">
      <c r="A2726" s="421" t="s">
        <v>370</v>
      </c>
      <c r="B2726" s="412">
        <f>VLOOKUP(B2708,'BANG LUONG 1'!$B$4:$AJ$55,22,0)</f>
        <v>0</v>
      </c>
      <c r="C2726" s="421">
        <v>18</v>
      </c>
      <c r="D2726" s="41"/>
    </row>
    <row r="2727" spans="1:5">
      <c r="A2727" s="421" t="s">
        <v>371</v>
      </c>
      <c r="B2727" s="412">
        <f>VLOOKUP(B2708,'BANG LUONG 1'!$B$4:$AJ$55,23,0)</f>
        <v>300000</v>
      </c>
      <c r="C2727" s="421">
        <v>19</v>
      </c>
      <c r="D2727" s="41"/>
    </row>
    <row r="2728" spans="1:5">
      <c r="A2728" s="421" t="s">
        <v>560</v>
      </c>
      <c r="B2728" s="412">
        <f>VLOOKUP(B2708,'BANG LUONG 1'!$B$4:$AJ$55,24,0)</f>
        <v>0</v>
      </c>
      <c r="C2728" s="421">
        <v>22</v>
      </c>
      <c r="D2728" s="41"/>
    </row>
    <row r="2729" spans="1:5">
      <c r="A2729" s="183" t="s">
        <v>237</v>
      </c>
      <c r="B2729" s="415">
        <f>VLOOKUP(B2708,'BANG LUONG 1'!$B$4:$AJ$55,26,0)</f>
        <v>557953.84615384601</v>
      </c>
      <c r="C2729" s="421">
        <v>24</v>
      </c>
      <c r="D2729" s="41"/>
    </row>
    <row r="2730" spans="1:5">
      <c r="A2730" s="421" t="s">
        <v>545</v>
      </c>
      <c r="B2730" s="412">
        <f>VLOOKUP(B2708,'BANG LUONG 1'!$B$4:$AJ$55,27,0)</f>
        <v>4000000</v>
      </c>
      <c r="C2730" s="421">
        <v>25</v>
      </c>
      <c r="D2730" s="41"/>
    </row>
    <row r="2731" spans="1:5">
      <c r="A2731" s="421" t="s">
        <v>544</v>
      </c>
      <c r="B2731" s="412">
        <f>VLOOKUP(B2708,'BANG LUONG 1'!$B$4:$AJ$55,28,0)</f>
        <v>0</v>
      </c>
      <c r="C2731" s="421">
        <v>26</v>
      </c>
      <c r="D2731" s="41"/>
    </row>
    <row r="2732" spans="1:5">
      <c r="A2732" s="421" t="s">
        <v>713</v>
      </c>
      <c r="B2732" s="415">
        <f>VLOOKUP(B2708,'BANG LUONG 1'!$B$4:$AJ$55,32,0)</f>
        <v>0</v>
      </c>
      <c r="C2732" s="421"/>
      <c r="D2732" s="41"/>
    </row>
    <row r="2733" spans="1:5">
      <c r="A2733" s="421" t="s">
        <v>714</v>
      </c>
      <c r="B2733" s="415">
        <f>VLOOKUP(B2708,'BANG LUONG 1'!$B$4:$AJ$55,33,0)</f>
        <v>0</v>
      </c>
      <c r="C2733" s="421"/>
      <c r="D2733" s="41"/>
    </row>
    <row r="2734" spans="1:5">
      <c r="A2734" s="183" t="s">
        <v>707</v>
      </c>
      <c r="B2734" s="415">
        <f>VLOOKUP(B2708,'BANG LUONG 1'!$B$4:$AJ$55,34,0)</f>
        <v>0</v>
      </c>
      <c r="C2734" s="421"/>
      <c r="D2734" s="41"/>
      <c r="E2734" s="108" t="str">
        <f>B2709</f>
        <v>Bùi Trọng Nghĩa</v>
      </c>
    </row>
    <row r="2735" spans="1:5">
      <c r="A2735" s="183" t="s">
        <v>546</v>
      </c>
      <c r="B2735" s="415">
        <f>VLOOKUP(B2708,'BANG LUONG 1'!$B$4:$AJ$55,35,0)</f>
        <v>-3442000</v>
      </c>
      <c r="C2735" s="421"/>
      <c r="D2735" s="41"/>
    </row>
    <row r="2736" spans="1:5">
      <c r="A2736" s="183"/>
      <c r="B2736" s="412"/>
      <c r="C2736" s="421">
        <v>27</v>
      </c>
      <c r="D2736" s="185"/>
    </row>
    <row r="2737" spans="1:4">
      <c r="A2737" s="184" t="s">
        <v>549</v>
      </c>
      <c r="B2737" s="424">
        <f>'BANG LUONG 1'!$P$2</f>
        <v>43702</v>
      </c>
    </row>
    <row r="2738" spans="1:4">
      <c r="A2738" s="183" t="s">
        <v>1</v>
      </c>
      <c r="B2738" s="185" t="s">
        <v>164</v>
      </c>
      <c r="C2738" s="421">
        <v>1</v>
      </c>
      <c r="D2738" s="41"/>
    </row>
    <row r="2739" spans="1:4">
      <c r="A2739" s="183" t="s">
        <v>2</v>
      </c>
      <c r="B2739" s="185" t="str">
        <f>VLOOKUP($B2738,'BANG LUONG 1'!$B$5:$AB$50,C2739,0)</f>
        <v>Bùi Trọng Nghĩa</v>
      </c>
      <c r="C2739" s="421">
        <v>2</v>
      </c>
      <c r="D2739" s="41"/>
    </row>
    <row r="2740" spans="1:4">
      <c r="A2740" s="421" t="s">
        <v>3</v>
      </c>
      <c r="B2740" s="41" t="str">
        <f>VLOOKUP($B2738,'BANG LUONG 1'!$B$5:$AJ$47,C2740,0)</f>
        <v xml:space="preserve">Công nhân </v>
      </c>
      <c r="C2740" s="421">
        <v>3</v>
      </c>
      <c r="D2740" s="41"/>
    </row>
    <row r="2741" spans="1:4">
      <c r="A2741" s="421" t="s">
        <v>376</v>
      </c>
      <c r="B2741" s="410">
        <f>VLOOKUP($B2738,'BANG LUONG 1'!$B$4:$AJ$55,4,0)</f>
        <v>43620</v>
      </c>
      <c r="C2741" s="421">
        <v>4</v>
      </c>
      <c r="D2741" s="41"/>
    </row>
    <row r="2742" spans="1:4">
      <c r="A2742" s="421" t="s">
        <v>698</v>
      </c>
      <c r="B2742" s="411">
        <f>VLOOKUP(B2738,'BANG LUONG 1'!$B$4:$AJ$55,6,0)</f>
        <v>0</v>
      </c>
      <c r="C2742" s="421">
        <v>5</v>
      </c>
      <c r="D2742" s="41"/>
    </row>
    <row r="2743" spans="1:4">
      <c r="A2743" s="421" t="s">
        <v>229</v>
      </c>
      <c r="B2743" s="412">
        <f>'thang luong moi'!$F$5</f>
        <v>4012500</v>
      </c>
      <c r="C2743" s="421">
        <v>6</v>
      </c>
      <c r="D2743" s="41"/>
    </row>
    <row r="2744" spans="1:4">
      <c r="A2744" s="421" t="s">
        <v>217</v>
      </c>
      <c r="B2744" s="412" t="str">
        <f>VLOOKUP(B2738,'BANG LUONG 1'!$B$4:$AJ$55,8,0)</f>
        <v>B.05</v>
      </c>
      <c r="C2744" s="421">
        <v>7</v>
      </c>
      <c r="D2744" s="41"/>
    </row>
    <row r="2745" spans="1:4">
      <c r="A2745" s="421" t="s">
        <v>230</v>
      </c>
      <c r="B2745" s="412">
        <f>VLOOKUP(B2738,'BANG LUONG 1'!$B$4:$AJ$55,9,0)</f>
        <v>1</v>
      </c>
      <c r="C2745" s="421">
        <v>8</v>
      </c>
      <c r="D2745" s="41"/>
    </row>
    <row r="2746" spans="1:4">
      <c r="A2746" s="421" t="s">
        <v>538</v>
      </c>
      <c r="B2746" s="412">
        <f>VLOOKUP(B2738,'BANG LUONG 1'!$B$4:$AJ$55,11,0)</f>
        <v>4213125</v>
      </c>
      <c r="C2746" s="421">
        <v>9</v>
      </c>
      <c r="D2746" s="41"/>
    </row>
    <row r="2747" spans="1:4">
      <c r="A2747" s="421" t="s">
        <v>354</v>
      </c>
      <c r="B2747" s="412">
        <f>VLOOKUP(B2738,'BANG LUONG 1'!$B$4:$AJ$55,12,0)</f>
        <v>27</v>
      </c>
      <c r="C2747" s="421">
        <v>10</v>
      </c>
      <c r="D2747" s="41"/>
    </row>
    <row r="2748" spans="1:4">
      <c r="A2748" s="421" t="s">
        <v>534</v>
      </c>
      <c r="B2748" s="412">
        <f>VLOOKUP(B2738,'BANG LUONG 1'!$B$4:$AJ$55,13,0)</f>
        <v>4375168.269230769</v>
      </c>
      <c r="C2748" s="421">
        <v>11</v>
      </c>
      <c r="D2748" s="41"/>
    </row>
    <row r="2749" spans="1:4">
      <c r="A2749" s="421" t="s">
        <v>592</v>
      </c>
      <c r="B2749" s="412">
        <f>VLOOKUP(B2738,'BANG LUONG 1'!$B$4:$AJ$55,14,0)</f>
        <v>0</v>
      </c>
      <c r="C2749" s="421">
        <v>12</v>
      </c>
      <c r="D2749" s="41">
        <f>B2746/26*B2749</f>
        <v>0</v>
      </c>
    </row>
    <row r="2750" spans="1:4">
      <c r="A2750" s="421" t="s">
        <v>357</v>
      </c>
      <c r="B2750" s="412">
        <f>VLOOKUP(B2738,'BANG LUONG 1'!$B$4:$AJ$55,15,0)</f>
        <v>0</v>
      </c>
      <c r="C2750" s="421">
        <v>13</v>
      </c>
      <c r="D2750" s="41">
        <f>B2746/26/8*1.5*B2750</f>
        <v>0</v>
      </c>
    </row>
    <row r="2751" spans="1:4">
      <c r="A2751" s="421" t="s">
        <v>387</v>
      </c>
      <c r="B2751" s="412">
        <f>VLOOKUP(B2738,'BANG LUONG 1'!$B$4:$AJ$55,16,0)</f>
        <v>0</v>
      </c>
      <c r="C2751" s="421">
        <v>14</v>
      </c>
      <c r="D2751" s="41">
        <f>B2746/26/8*2*B2751</f>
        <v>0</v>
      </c>
    </row>
    <row r="2752" spans="1:4">
      <c r="A2752" s="421" t="s">
        <v>593</v>
      </c>
      <c r="B2752" s="412">
        <f>VLOOKUP(B2738,'BANG LUONG 1'!$B$4:$AJ$55,17,0)</f>
        <v>0</v>
      </c>
      <c r="C2752" s="421"/>
      <c r="D2752" s="41">
        <f>(B2746/26)*B2752</f>
        <v>0</v>
      </c>
    </row>
    <row r="2753" spans="1:5">
      <c r="A2753" s="421" t="s">
        <v>388</v>
      </c>
      <c r="B2753" s="412">
        <f>VLOOKUP(B2738,'BANG LUONG 1'!$B$4:$AJ$55,18,0)</f>
        <v>0</v>
      </c>
      <c r="C2753" s="421">
        <v>15</v>
      </c>
      <c r="D2753" s="41">
        <f>(B2746/26*B2753)*3</f>
        <v>0</v>
      </c>
    </row>
    <row r="2754" spans="1:5">
      <c r="A2754" s="421" t="s">
        <v>533</v>
      </c>
      <c r="B2754" s="412">
        <f>VLOOKUP(B2738,'BANG LUONG 1'!$B$4:$AJ$55,19,0)</f>
        <v>4375168.269230769</v>
      </c>
      <c r="C2754" s="183">
        <v>16</v>
      </c>
      <c r="D2754" s="185">
        <f>B2748+D2750+D2751+D2749+D2753+D2752</f>
        <v>4375168.269230769</v>
      </c>
      <c r="E2754" s="108"/>
    </row>
    <row r="2755" spans="1:5">
      <c r="A2755" s="421" t="s">
        <v>535</v>
      </c>
      <c r="B2755" s="412">
        <f>VLOOKUP(B2738,'BANG LUONG 1'!$B$4:$AJ$55,20,0)</f>
        <v>-4117214.423076923</v>
      </c>
      <c r="C2755" s="421">
        <v>17</v>
      </c>
      <c r="D2755" s="41"/>
    </row>
    <row r="2756" spans="1:5">
      <c r="A2756" s="421" t="s">
        <v>370</v>
      </c>
      <c r="B2756" s="412">
        <f>VLOOKUP(B2738,'BANG LUONG 1'!$B$4:$AJ$55,22,0)</f>
        <v>0</v>
      </c>
      <c r="C2756" s="421">
        <v>18</v>
      </c>
      <c r="D2756" s="41"/>
    </row>
    <row r="2757" spans="1:5">
      <c r="A2757" s="421" t="s">
        <v>371</v>
      </c>
      <c r="B2757" s="412">
        <f>VLOOKUP(B2738,'BANG LUONG 1'!$B$4:$AJ$55,23,0)</f>
        <v>300000</v>
      </c>
      <c r="C2757" s="421">
        <v>19</v>
      </c>
      <c r="D2757" s="41"/>
    </row>
    <row r="2758" spans="1:5">
      <c r="A2758" s="421" t="s">
        <v>560</v>
      </c>
      <c r="B2758" s="412">
        <f>VLOOKUP(B2738,'BANG LUONG 1'!$B$4:$AJ$55,24,0)</f>
        <v>0</v>
      </c>
      <c r="C2758" s="421">
        <v>22</v>
      </c>
      <c r="D2758" s="41"/>
    </row>
    <row r="2759" spans="1:5">
      <c r="A2759" s="183" t="s">
        <v>237</v>
      </c>
      <c r="B2759" s="415">
        <f>VLOOKUP(B2738,'BANG LUONG 1'!$B$4:$AJ$55,26,0)</f>
        <v>557953.84615384601</v>
      </c>
      <c r="C2759" s="421">
        <v>24</v>
      </c>
      <c r="D2759" s="41"/>
    </row>
    <row r="2760" spans="1:5">
      <c r="A2760" s="421" t="s">
        <v>545</v>
      </c>
      <c r="B2760" s="412">
        <f>VLOOKUP(B2738,'BANG LUONG 1'!$B$4:$AJ$55,27,0)</f>
        <v>4000000</v>
      </c>
      <c r="C2760" s="421">
        <v>25</v>
      </c>
      <c r="D2760" s="41"/>
    </row>
    <row r="2761" spans="1:5">
      <c r="A2761" s="421" t="s">
        <v>544</v>
      </c>
      <c r="B2761" s="412">
        <f>VLOOKUP(B2738,'BANG LUONG 1'!$B$4:$AJ$55,28,0)</f>
        <v>0</v>
      </c>
      <c r="C2761" s="421">
        <v>26</v>
      </c>
      <c r="D2761" s="41"/>
    </row>
    <row r="2762" spans="1:5">
      <c r="A2762" s="421" t="s">
        <v>713</v>
      </c>
      <c r="B2762" s="415">
        <f>VLOOKUP(B2738,'BANG LUONG 1'!$B$4:$AJ$55,32,0)</f>
        <v>0</v>
      </c>
      <c r="C2762" s="421"/>
      <c r="D2762" s="41"/>
    </row>
    <row r="2763" spans="1:5">
      <c r="A2763" s="421" t="s">
        <v>714</v>
      </c>
      <c r="B2763" s="415">
        <f>VLOOKUP(B2738,'BANG LUONG 1'!$B$4:$AJ$55,33,0)</f>
        <v>0</v>
      </c>
      <c r="C2763" s="421"/>
      <c r="D2763" s="41"/>
    </row>
    <row r="2764" spans="1:5">
      <c r="A2764" s="183" t="s">
        <v>707</v>
      </c>
      <c r="B2764" s="415">
        <f>VLOOKUP(B2738,'BANG LUONG 1'!$B$4:$AJ$55,34,0)</f>
        <v>0</v>
      </c>
      <c r="C2764" s="421"/>
      <c r="D2764" s="41"/>
      <c r="E2764" s="108" t="str">
        <f>B2739</f>
        <v>Bùi Trọng Nghĩa</v>
      </c>
    </row>
    <row r="2765" spans="1:5">
      <c r="A2765" s="183" t="s">
        <v>546</v>
      </c>
      <c r="B2765" s="415">
        <f>VLOOKUP(B2738,'BANG LUONG 1'!$B$4:$AJ$55,35,0)</f>
        <v>-3442000</v>
      </c>
      <c r="C2765" s="421"/>
      <c r="D2765" s="41"/>
    </row>
    <row r="2766" spans="1:5">
      <c r="A2766" s="183"/>
      <c r="B2766" s="412"/>
      <c r="C2766" s="421">
        <v>27</v>
      </c>
      <c r="D2766" s="185"/>
    </row>
    <row r="2767" spans="1:5">
      <c r="A2767" s="184" t="s">
        <v>549</v>
      </c>
      <c r="B2767" s="424">
        <f>'BANG LUONG 1'!$P$2</f>
        <v>43702</v>
      </c>
    </row>
    <row r="2768" spans="1:5">
      <c r="A2768" s="183" t="s">
        <v>1</v>
      </c>
      <c r="B2768" s="185" t="s">
        <v>165</v>
      </c>
      <c r="C2768" s="421">
        <v>1</v>
      </c>
      <c r="D2768" s="41"/>
    </row>
    <row r="2769" spans="1:5">
      <c r="A2769" s="183" t="s">
        <v>2</v>
      </c>
      <c r="B2769" s="185" t="e">
        <f>VLOOKUP($B2768,'BANG LUONG 1'!$B$5:$AB$50,C2769,0)</f>
        <v>#N/A</v>
      </c>
      <c r="C2769" s="421">
        <v>2</v>
      </c>
      <c r="D2769" s="41"/>
    </row>
    <row r="2770" spans="1:5">
      <c r="A2770" s="421" t="s">
        <v>3</v>
      </c>
      <c r="B2770" s="41" t="e">
        <f>VLOOKUP($B2768,'BANG LUONG 1'!$B$5:$AJ$47,C2770,0)</f>
        <v>#N/A</v>
      </c>
      <c r="C2770" s="421">
        <v>3</v>
      </c>
      <c r="D2770" s="41"/>
    </row>
    <row r="2771" spans="1:5">
      <c r="A2771" s="421" t="s">
        <v>376</v>
      </c>
      <c r="B2771" s="410">
        <f>VLOOKUP($B2768,'BANG LUONG 1'!$B$4:$AJ$55,4,0)</f>
        <v>43626</v>
      </c>
      <c r="C2771" s="421">
        <v>4</v>
      </c>
      <c r="D2771" s="41"/>
    </row>
    <row r="2772" spans="1:5">
      <c r="A2772" s="421" t="s">
        <v>698</v>
      </c>
      <c r="B2772" s="411">
        <f>VLOOKUP(B2768,'BANG LUONG 1'!$B$4:$AJ$55,6,0)</f>
        <v>0</v>
      </c>
      <c r="C2772" s="421">
        <v>5</v>
      </c>
      <c r="D2772" s="41"/>
    </row>
    <row r="2773" spans="1:5">
      <c r="A2773" s="421" t="s">
        <v>229</v>
      </c>
      <c r="B2773" s="412">
        <f>'thang luong moi'!$F$5</f>
        <v>4012500</v>
      </c>
      <c r="C2773" s="421">
        <v>6</v>
      </c>
      <c r="D2773" s="41"/>
    </row>
    <row r="2774" spans="1:5">
      <c r="A2774" s="421" t="s">
        <v>217</v>
      </c>
      <c r="B2774" s="412" t="str">
        <f>VLOOKUP(B2768,'BANG LUONG 1'!$B$4:$AJ$55,8,0)</f>
        <v>B.05</v>
      </c>
      <c r="C2774" s="421">
        <v>7</v>
      </c>
      <c r="D2774" s="41"/>
    </row>
    <row r="2775" spans="1:5">
      <c r="A2775" s="421" t="s">
        <v>230</v>
      </c>
      <c r="B2775" s="412">
        <f>VLOOKUP(B2768,'BANG LUONG 1'!$B$4:$AJ$55,9,0)</f>
        <v>1</v>
      </c>
      <c r="C2775" s="421">
        <v>8</v>
      </c>
      <c r="D2775" s="41"/>
    </row>
    <row r="2776" spans="1:5">
      <c r="A2776" s="421" t="s">
        <v>538</v>
      </c>
      <c r="B2776" s="412">
        <f>VLOOKUP(B2768,'BANG LUONG 1'!$B$4:$AJ$55,11,0)</f>
        <v>4213125</v>
      </c>
      <c r="C2776" s="421">
        <v>9</v>
      </c>
      <c r="D2776" s="41"/>
    </row>
    <row r="2777" spans="1:5">
      <c r="A2777" s="421" t="s">
        <v>354</v>
      </c>
      <c r="B2777" s="412">
        <f>VLOOKUP(B2768,'BANG LUONG 1'!$B$4:$AJ$55,12,0)</f>
        <v>27</v>
      </c>
      <c r="C2777" s="421">
        <v>10</v>
      </c>
      <c r="D2777" s="41"/>
    </row>
    <row r="2778" spans="1:5">
      <c r="A2778" s="421" t="s">
        <v>534</v>
      </c>
      <c r="B2778" s="412">
        <f>VLOOKUP(B2768,'BANG LUONG 1'!$B$4:$AJ$55,13,0)</f>
        <v>4375168.269230769</v>
      </c>
      <c r="C2778" s="421">
        <v>11</v>
      </c>
      <c r="D2778" s="41"/>
    </row>
    <row r="2779" spans="1:5">
      <c r="A2779" s="421" t="s">
        <v>592</v>
      </c>
      <c r="B2779" s="412">
        <f>VLOOKUP(B2768,'BANG LUONG 1'!$B$4:$AJ$55,14,0)</f>
        <v>0</v>
      </c>
      <c r="C2779" s="421">
        <v>12</v>
      </c>
      <c r="D2779" s="41">
        <f>B2776/26*B2779</f>
        <v>0</v>
      </c>
    </row>
    <row r="2780" spans="1:5">
      <c r="A2780" s="421" t="s">
        <v>357</v>
      </c>
      <c r="B2780" s="412">
        <f>VLOOKUP(B2768,'BANG LUONG 1'!$B$4:$AJ$55,15,0)</f>
        <v>0</v>
      </c>
      <c r="C2780" s="421">
        <v>13</v>
      </c>
      <c r="D2780" s="41">
        <f>B2776/26/8*1.5*B2780</f>
        <v>0</v>
      </c>
    </row>
    <row r="2781" spans="1:5">
      <c r="A2781" s="421" t="s">
        <v>387</v>
      </c>
      <c r="B2781" s="412">
        <f>VLOOKUP(B2768,'BANG LUONG 1'!$B$4:$AJ$55,16,0)</f>
        <v>0</v>
      </c>
      <c r="C2781" s="421">
        <v>14</v>
      </c>
      <c r="D2781" s="41">
        <f>B2776/26/8*2*B2781</f>
        <v>0</v>
      </c>
    </row>
    <row r="2782" spans="1:5">
      <c r="A2782" s="421" t="s">
        <v>593</v>
      </c>
      <c r="B2782" s="412">
        <f>VLOOKUP(B2768,'BANG LUONG 1'!$B$4:$AJ$55,17,0)</f>
        <v>0</v>
      </c>
      <c r="C2782" s="421"/>
      <c r="D2782" s="41">
        <f>(B2776/26)*B2782</f>
        <v>0</v>
      </c>
    </row>
    <row r="2783" spans="1:5">
      <c r="A2783" s="421" t="s">
        <v>388</v>
      </c>
      <c r="B2783" s="412">
        <f>VLOOKUP(B2768,'BANG LUONG 1'!$B$4:$AJ$55,18,0)</f>
        <v>0</v>
      </c>
      <c r="C2783" s="421">
        <v>15</v>
      </c>
      <c r="D2783" s="41">
        <f>(B2776/26*B2783)*3</f>
        <v>0</v>
      </c>
    </row>
    <row r="2784" spans="1:5">
      <c r="A2784" s="421" t="s">
        <v>533</v>
      </c>
      <c r="B2784" s="412">
        <f>VLOOKUP(B2768,'BANG LUONG 1'!$B$4:$AJ$55,19,0)</f>
        <v>4375168.269230769</v>
      </c>
      <c r="C2784" s="183">
        <v>16</v>
      </c>
      <c r="D2784" s="185">
        <f>B2778+D2780+D2781+D2779+D2783+D2782</f>
        <v>4375168.269230769</v>
      </c>
      <c r="E2784" s="108"/>
    </row>
    <row r="2785" spans="1:5">
      <c r="A2785" s="421" t="s">
        <v>535</v>
      </c>
      <c r="B2785" s="412">
        <f>VLOOKUP(B2768,'BANG LUONG 1'!$B$4:$AJ$55,20,0)</f>
        <v>-4375168.269230769</v>
      </c>
      <c r="C2785" s="421">
        <v>17</v>
      </c>
      <c r="D2785" s="41"/>
    </row>
    <row r="2786" spans="1:5">
      <c r="A2786" s="421" t="s">
        <v>370</v>
      </c>
      <c r="B2786" s="412">
        <f>VLOOKUP(B2768,'BANG LUONG 1'!$B$4:$AJ$55,22,0)</f>
        <v>0</v>
      </c>
      <c r="C2786" s="421">
        <v>18</v>
      </c>
      <c r="D2786" s="41"/>
    </row>
    <row r="2787" spans="1:5">
      <c r="A2787" s="421" t="s">
        <v>371</v>
      </c>
      <c r="B2787" s="412">
        <f>VLOOKUP(B2768,'BANG LUONG 1'!$B$4:$AJ$55,23,0)</f>
        <v>300000</v>
      </c>
      <c r="C2787" s="421">
        <v>19</v>
      </c>
      <c r="D2787" s="41"/>
    </row>
    <row r="2788" spans="1:5">
      <c r="A2788" s="421" t="s">
        <v>560</v>
      </c>
      <c r="B2788" s="412">
        <f>VLOOKUP(B2768,'BANG LUONG 1'!$B$4:$AJ$55,24,0)</f>
        <v>0</v>
      </c>
      <c r="C2788" s="421">
        <v>22</v>
      </c>
      <c r="D2788" s="41"/>
    </row>
    <row r="2789" spans="1:5">
      <c r="A2789" s="183" t="s">
        <v>237</v>
      </c>
      <c r="B2789" s="415">
        <f>VLOOKUP(B2768,'BANG LUONG 1'!$B$4:$AJ$55,26,0)</f>
        <v>300000</v>
      </c>
      <c r="C2789" s="421">
        <v>24</v>
      </c>
      <c r="D2789" s="41"/>
    </row>
    <row r="2790" spans="1:5">
      <c r="A2790" s="421" t="s">
        <v>545</v>
      </c>
      <c r="B2790" s="412">
        <f>VLOOKUP(B2768,'BANG LUONG 1'!$B$4:$AJ$55,27,0)</f>
        <v>0</v>
      </c>
      <c r="C2790" s="421">
        <v>25</v>
      </c>
      <c r="D2790" s="41"/>
    </row>
    <row r="2791" spans="1:5">
      <c r="A2791" s="421" t="s">
        <v>544</v>
      </c>
      <c r="B2791" s="412">
        <f>VLOOKUP(B2768,'BANG LUONG 1'!$B$4:$AJ$55,28,0)</f>
        <v>0</v>
      </c>
      <c r="C2791" s="421">
        <v>26</v>
      </c>
      <c r="D2791" s="41"/>
    </row>
    <row r="2792" spans="1:5">
      <c r="A2792" s="421" t="s">
        <v>713</v>
      </c>
      <c r="B2792" s="415">
        <f>VLOOKUP(B2768,'BANG LUONG 1'!$B$4:$AJ$55,32,0)</f>
        <v>0</v>
      </c>
      <c r="C2792" s="421"/>
      <c r="D2792" s="41"/>
    </row>
    <row r="2793" spans="1:5">
      <c r="A2793" s="421" t="s">
        <v>714</v>
      </c>
      <c r="B2793" s="415">
        <f>VLOOKUP(B2768,'BANG LUONG 1'!$B$4:$AJ$55,33,0)</f>
        <v>0</v>
      </c>
      <c r="C2793" s="421"/>
      <c r="D2793" s="41"/>
    </row>
    <row r="2794" spans="1:5">
      <c r="A2794" s="183" t="s">
        <v>707</v>
      </c>
      <c r="B2794" s="415">
        <f>VLOOKUP(B2768,'BANG LUONG 1'!$B$4:$AJ$55,34,0)</f>
        <v>0</v>
      </c>
      <c r="C2794" s="421"/>
      <c r="D2794" s="41"/>
      <c r="E2794" s="108" t="e">
        <f>B2769</f>
        <v>#N/A</v>
      </c>
    </row>
    <row r="2795" spans="1:5">
      <c r="A2795" s="183" t="s">
        <v>546</v>
      </c>
      <c r="B2795" s="415">
        <f>VLOOKUP(B2768,'BANG LUONG 1'!$B$4:$AJ$55,35,0)</f>
        <v>300000</v>
      </c>
      <c r="C2795" s="421"/>
      <c r="D2795" s="41"/>
    </row>
    <row r="2796" spans="1:5">
      <c r="A2796" s="183"/>
      <c r="B2796" s="412"/>
      <c r="C2796" s="421">
        <v>27</v>
      </c>
      <c r="D2796" s="185"/>
    </row>
    <row r="2797" spans="1:5">
      <c r="A2797" s="184" t="s">
        <v>549</v>
      </c>
      <c r="B2797" s="424">
        <f>'BANG LUONG 1'!$P$2</f>
        <v>43702</v>
      </c>
    </row>
    <row r="2798" spans="1:5">
      <c r="A2798" s="183" t="s">
        <v>1</v>
      </c>
      <c r="B2798" s="185" t="s">
        <v>165</v>
      </c>
      <c r="C2798" s="421">
        <v>1</v>
      </c>
      <c r="D2798" s="41"/>
    </row>
    <row r="2799" spans="1:5">
      <c r="A2799" s="183" t="s">
        <v>2</v>
      </c>
      <c r="B2799" s="185" t="e">
        <f>VLOOKUP($B2798,'BANG LUONG 1'!$B$5:$AB$50,C2799,0)</f>
        <v>#N/A</v>
      </c>
      <c r="C2799" s="421">
        <v>2</v>
      </c>
      <c r="D2799" s="41"/>
    </row>
    <row r="2800" spans="1:5">
      <c r="A2800" s="421" t="s">
        <v>3</v>
      </c>
      <c r="B2800" s="41" t="e">
        <f>VLOOKUP($B2798,'BANG LUONG 1'!$B$5:$AJ$47,C2800,0)</f>
        <v>#N/A</v>
      </c>
      <c r="C2800" s="421">
        <v>3</v>
      </c>
      <c r="D2800" s="41"/>
    </row>
    <row r="2801" spans="1:5">
      <c r="A2801" s="421" t="s">
        <v>376</v>
      </c>
      <c r="B2801" s="410">
        <f>VLOOKUP($B2798,'BANG LUONG 1'!$B$4:$AJ$55,4,0)</f>
        <v>43626</v>
      </c>
      <c r="C2801" s="421">
        <v>4</v>
      </c>
      <c r="D2801" s="41"/>
    </row>
    <row r="2802" spans="1:5">
      <c r="A2802" s="421" t="s">
        <v>698</v>
      </c>
      <c r="B2802" s="411">
        <f>VLOOKUP(B2798,'BANG LUONG 1'!$B$4:$AJ$55,6,0)</f>
        <v>0</v>
      </c>
      <c r="C2802" s="421">
        <v>5</v>
      </c>
      <c r="D2802" s="41"/>
    </row>
    <row r="2803" spans="1:5">
      <c r="A2803" s="421" t="s">
        <v>229</v>
      </c>
      <c r="B2803" s="412">
        <f>'thang luong moi'!$F$5</f>
        <v>4012500</v>
      </c>
      <c r="C2803" s="421">
        <v>6</v>
      </c>
      <c r="D2803" s="41"/>
    </row>
    <row r="2804" spans="1:5">
      <c r="A2804" s="421" t="s">
        <v>217</v>
      </c>
      <c r="B2804" s="412" t="str">
        <f>VLOOKUP(B2798,'BANG LUONG 1'!$B$4:$AJ$55,8,0)</f>
        <v>B.05</v>
      </c>
      <c r="C2804" s="421">
        <v>7</v>
      </c>
      <c r="D2804" s="41"/>
    </row>
    <row r="2805" spans="1:5">
      <c r="A2805" s="421" t="s">
        <v>230</v>
      </c>
      <c r="B2805" s="412">
        <f>VLOOKUP(B2798,'BANG LUONG 1'!$B$4:$AJ$55,9,0)</f>
        <v>1</v>
      </c>
      <c r="C2805" s="421">
        <v>8</v>
      </c>
      <c r="D2805" s="41"/>
    </row>
    <row r="2806" spans="1:5">
      <c r="A2806" s="421" t="s">
        <v>538</v>
      </c>
      <c r="B2806" s="412">
        <f>VLOOKUP(B2798,'BANG LUONG 1'!$B$4:$AJ$55,11,0)</f>
        <v>4213125</v>
      </c>
      <c r="C2806" s="421">
        <v>9</v>
      </c>
      <c r="D2806" s="41"/>
    </row>
    <row r="2807" spans="1:5">
      <c r="A2807" s="421" t="s">
        <v>354</v>
      </c>
      <c r="B2807" s="412">
        <f>VLOOKUP(B2798,'BANG LUONG 1'!$B$4:$AJ$55,12,0)</f>
        <v>27</v>
      </c>
      <c r="C2807" s="421">
        <v>10</v>
      </c>
      <c r="D2807" s="41"/>
    </row>
    <row r="2808" spans="1:5">
      <c r="A2808" s="421" t="s">
        <v>534</v>
      </c>
      <c r="B2808" s="412">
        <f>VLOOKUP(B2798,'BANG LUONG 1'!$B$4:$AJ$55,13,0)</f>
        <v>4375168.269230769</v>
      </c>
      <c r="C2808" s="421">
        <v>11</v>
      </c>
      <c r="D2808" s="41"/>
    </row>
    <row r="2809" spans="1:5">
      <c r="A2809" s="421" t="s">
        <v>592</v>
      </c>
      <c r="B2809" s="412">
        <f>VLOOKUP(B2798,'BANG LUONG 1'!$B$4:$AJ$55,14,0)</f>
        <v>0</v>
      </c>
      <c r="C2809" s="421">
        <v>12</v>
      </c>
      <c r="D2809" s="41">
        <f>B2806/26*B2809</f>
        <v>0</v>
      </c>
    </row>
    <row r="2810" spans="1:5">
      <c r="A2810" s="421" t="s">
        <v>357</v>
      </c>
      <c r="B2810" s="412">
        <f>VLOOKUP(B2798,'BANG LUONG 1'!$B$4:$AJ$55,15,0)</f>
        <v>0</v>
      </c>
      <c r="C2810" s="421">
        <v>13</v>
      </c>
      <c r="D2810" s="41">
        <f>B2806/26/8*1.5*B2810</f>
        <v>0</v>
      </c>
    </row>
    <row r="2811" spans="1:5">
      <c r="A2811" s="421" t="s">
        <v>387</v>
      </c>
      <c r="B2811" s="412">
        <f>VLOOKUP(B2798,'BANG LUONG 1'!$B$4:$AJ$55,16,0)</f>
        <v>0</v>
      </c>
      <c r="C2811" s="421">
        <v>14</v>
      </c>
      <c r="D2811" s="41">
        <f>B2806/26/8*2*B2811</f>
        <v>0</v>
      </c>
    </row>
    <row r="2812" spans="1:5">
      <c r="A2812" s="421" t="s">
        <v>593</v>
      </c>
      <c r="B2812" s="412">
        <f>VLOOKUP(B2798,'BANG LUONG 1'!$B$4:$AJ$55,17,0)</f>
        <v>0</v>
      </c>
      <c r="C2812" s="421"/>
      <c r="D2812" s="41">
        <f>(B2806/26)*B2812</f>
        <v>0</v>
      </c>
    </row>
    <row r="2813" spans="1:5">
      <c r="A2813" s="421" t="s">
        <v>388</v>
      </c>
      <c r="B2813" s="412">
        <f>VLOOKUP(B2798,'BANG LUONG 1'!$B$4:$AJ$55,18,0)</f>
        <v>0</v>
      </c>
      <c r="C2813" s="421">
        <v>15</v>
      </c>
      <c r="D2813" s="41">
        <f>(B2806/26*B2813)*3</f>
        <v>0</v>
      </c>
    </row>
    <row r="2814" spans="1:5">
      <c r="A2814" s="421" t="s">
        <v>533</v>
      </c>
      <c r="B2814" s="412">
        <f>VLOOKUP(B2798,'BANG LUONG 1'!$B$4:$AJ$55,19,0)</f>
        <v>4375168.269230769</v>
      </c>
      <c r="C2814" s="183">
        <v>16</v>
      </c>
      <c r="D2814" s="185">
        <f>B2808+D2810+D2811+D2809+D2813+D2812</f>
        <v>4375168.269230769</v>
      </c>
      <c r="E2814" s="108"/>
    </row>
    <row r="2815" spans="1:5">
      <c r="A2815" s="421" t="s">
        <v>535</v>
      </c>
      <c r="B2815" s="412">
        <f>VLOOKUP(B2798,'BANG LUONG 1'!$B$4:$AJ$55,20,0)</f>
        <v>-4375168.269230769</v>
      </c>
      <c r="C2815" s="421">
        <v>17</v>
      </c>
      <c r="D2815" s="41"/>
    </row>
    <row r="2816" spans="1:5">
      <c r="A2816" s="421" t="s">
        <v>370</v>
      </c>
      <c r="B2816" s="412">
        <f>VLOOKUP(B2798,'BANG LUONG 1'!$B$4:$AJ$55,22,0)</f>
        <v>0</v>
      </c>
      <c r="C2816" s="421">
        <v>18</v>
      </c>
      <c r="D2816" s="41"/>
    </row>
    <row r="2817" spans="1:5">
      <c r="A2817" s="421" t="s">
        <v>371</v>
      </c>
      <c r="B2817" s="412">
        <f>VLOOKUP(B2798,'BANG LUONG 1'!$B$4:$AJ$55,23,0)</f>
        <v>300000</v>
      </c>
      <c r="C2817" s="421">
        <v>19</v>
      </c>
      <c r="D2817" s="41"/>
    </row>
    <row r="2818" spans="1:5">
      <c r="A2818" s="421" t="s">
        <v>560</v>
      </c>
      <c r="B2818" s="412">
        <f>VLOOKUP(B2798,'BANG LUONG 1'!$B$4:$AJ$55,24,0)</f>
        <v>0</v>
      </c>
      <c r="C2818" s="421">
        <v>22</v>
      </c>
      <c r="D2818" s="41"/>
    </row>
    <row r="2819" spans="1:5">
      <c r="A2819" s="183" t="s">
        <v>237</v>
      </c>
      <c r="B2819" s="415">
        <f>VLOOKUP(B2798,'BANG LUONG 1'!$B$4:$AJ$55,26,0)</f>
        <v>300000</v>
      </c>
      <c r="C2819" s="421">
        <v>24</v>
      </c>
      <c r="D2819" s="41"/>
    </row>
    <row r="2820" spans="1:5">
      <c r="A2820" s="421" t="s">
        <v>545</v>
      </c>
      <c r="B2820" s="412">
        <f>VLOOKUP(B2798,'BANG LUONG 1'!$B$4:$AJ$55,27,0)</f>
        <v>0</v>
      </c>
      <c r="C2820" s="421">
        <v>25</v>
      </c>
      <c r="D2820" s="41"/>
    </row>
    <row r="2821" spans="1:5">
      <c r="A2821" s="421" t="s">
        <v>544</v>
      </c>
      <c r="B2821" s="412">
        <f>VLOOKUP(B2798,'BANG LUONG 1'!$B$4:$AJ$55,28,0)</f>
        <v>0</v>
      </c>
      <c r="C2821" s="421">
        <v>26</v>
      </c>
      <c r="D2821" s="41"/>
    </row>
    <row r="2822" spans="1:5">
      <c r="A2822" s="421" t="s">
        <v>713</v>
      </c>
      <c r="B2822" s="415">
        <f>VLOOKUP(B2798,'BANG LUONG 1'!$B$4:$AJ$55,32,0)</f>
        <v>0</v>
      </c>
      <c r="C2822" s="421"/>
      <c r="D2822" s="41"/>
    </row>
    <row r="2823" spans="1:5">
      <c r="A2823" s="421" t="s">
        <v>714</v>
      </c>
      <c r="B2823" s="415">
        <f>VLOOKUP(B2798,'BANG LUONG 1'!$B$4:$AJ$55,33,0)</f>
        <v>0</v>
      </c>
      <c r="C2823" s="421"/>
      <c r="D2823" s="41"/>
    </row>
    <row r="2824" spans="1:5">
      <c r="A2824" s="183" t="s">
        <v>707</v>
      </c>
      <c r="B2824" s="415">
        <f>VLOOKUP(B2798,'BANG LUONG 1'!$B$4:$AJ$55,34,0)</f>
        <v>0</v>
      </c>
      <c r="C2824" s="421"/>
      <c r="D2824" s="41"/>
      <c r="E2824" s="108" t="e">
        <f>B2799</f>
        <v>#N/A</v>
      </c>
    </row>
    <row r="2825" spans="1:5">
      <c r="A2825" s="183" t="s">
        <v>546</v>
      </c>
      <c r="B2825" s="415">
        <f>VLOOKUP(B2798,'BANG LUONG 1'!$B$4:$AJ$55,35,0)</f>
        <v>300000</v>
      </c>
      <c r="C2825" s="421"/>
      <c r="D2825" s="41"/>
    </row>
    <row r="2826" spans="1:5">
      <c r="A2826" s="184" t="s">
        <v>549</v>
      </c>
      <c r="B2826" s="424">
        <f>'BANG LUONG 1'!$P$2</f>
        <v>43702</v>
      </c>
    </row>
    <row r="2827" spans="1:5">
      <c r="A2827" s="183" t="s">
        <v>1</v>
      </c>
      <c r="B2827" s="185" t="s">
        <v>166</v>
      </c>
      <c r="C2827" s="421">
        <v>1</v>
      </c>
      <c r="D2827" s="41"/>
    </row>
    <row r="2828" spans="1:5">
      <c r="A2828" s="183" t="s">
        <v>2</v>
      </c>
      <c r="B2828" s="185" t="str">
        <f>VLOOKUP($B2827,'BANG LUONG 1'!$B$5:$AB$47,C2828,0)</f>
        <v>Nguyễn Đình Tâm</v>
      </c>
      <c r="C2828" s="421">
        <v>2</v>
      </c>
      <c r="D2828" s="41"/>
    </row>
    <row r="2829" spans="1:5">
      <c r="A2829" s="421" t="s">
        <v>3</v>
      </c>
      <c r="B2829" s="41" t="str">
        <f>VLOOKUP($B2827,'BANG LUONG 1'!$B$5:$AJ$47,C2829,0)</f>
        <v xml:space="preserve">Công nhân </v>
      </c>
      <c r="C2829" s="421">
        <v>3</v>
      </c>
      <c r="D2829" s="41"/>
    </row>
    <row r="2830" spans="1:5">
      <c r="A2830" s="421" t="s">
        <v>376</v>
      </c>
      <c r="B2830" s="410">
        <f>VLOOKUP($B2827,'BANG LUONG 1'!$B$4:$AJ$55,4,0)</f>
        <v>43648</v>
      </c>
      <c r="C2830" s="421">
        <v>4</v>
      </c>
      <c r="D2830" s="41"/>
    </row>
    <row r="2831" spans="1:5">
      <c r="A2831" s="421" t="s">
        <v>698</v>
      </c>
      <c r="B2831" s="411">
        <f>VLOOKUP(B2827,'BANG LUONG 1'!$B$4:$AJ$55,6,0)</f>
        <v>0</v>
      </c>
      <c r="C2831" s="421">
        <v>5</v>
      </c>
      <c r="D2831" s="41"/>
    </row>
    <row r="2832" spans="1:5">
      <c r="A2832" s="421" t="s">
        <v>229</v>
      </c>
      <c r="B2832" s="412">
        <f>'thang luong moi'!$F$5</f>
        <v>4012500</v>
      </c>
      <c r="C2832" s="421">
        <v>6</v>
      </c>
      <c r="D2832" s="41"/>
    </row>
    <row r="2833" spans="1:5">
      <c r="A2833" s="421" t="s">
        <v>217</v>
      </c>
      <c r="B2833" s="412" t="str">
        <f>VLOOKUP(B2827,'BANG LUONG 1'!$B$4:$AJ$55,8,0)</f>
        <v>B.05</v>
      </c>
      <c r="C2833" s="421">
        <v>7</v>
      </c>
      <c r="D2833" s="41"/>
    </row>
    <row r="2834" spans="1:5">
      <c r="A2834" s="421" t="s">
        <v>230</v>
      </c>
      <c r="B2834" s="412">
        <f>VLOOKUP(B2827,'BANG LUONG 1'!$B$4:$AJ$55,9,0)</f>
        <v>1</v>
      </c>
      <c r="C2834" s="421">
        <v>8</v>
      </c>
      <c r="D2834" s="41"/>
    </row>
    <row r="2835" spans="1:5">
      <c r="A2835" s="421" t="s">
        <v>538</v>
      </c>
      <c r="B2835" s="412">
        <f>VLOOKUP(B2827,'BANG LUONG 1'!$B$4:$AJ$55,11,0)</f>
        <v>4213125</v>
      </c>
      <c r="C2835" s="421">
        <v>9</v>
      </c>
      <c r="D2835" s="41"/>
    </row>
    <row r="2836" spans="1:5">
      <c r="A2836" s="421" t="s">
        <v>354</v>
      </c>
      <c r="B2836" s="412">
        <f>VLOOKUP(B2827,'BANG LUONG 1'!$B$4:$AJ$55,12,0)</f>
        <v>27</v>
      </c>
      <c r="C2836" s="421">
        <v>10</v>
      </c>
      <c r="D2836" s="41"/>
    </row>
    <row r="2837" spans="1:5">
      <c r="A2837" s="421" t="s">
        <v>534</v>
      </c>
      <c r="B2837" s="412">
        <f>VLOOKUP(B2827,'BANG LUONG 1'!$B$4:$AJ$55,13,0)</f>
        <v>4375168.269230769</v>
      </c>
      <c r="C2837" s="421">
        <v>11</v>
      </c>
      <c r="D2837" s="41"/>
    </row>
    <row r="2838" spans="1:5">
      <c r="A2838" s="421" t="s">
        <v>592</v>
      </c>
      <c r="B2838" s="412">
        <f>VLOOKUP(B2827,'BANG LUONG 1'!$B$4:$AJ$55,14,0)</f>
        <v>0</v>
      </c>
      <c r="C2838" s="421">
        <v>12</v>
      </c>
      <c r="D2838" s="41">
        <f>B2835/26*B2838</f>
        <v>0</v>
      </c>
    </row>
    <row r="2839" spans="1:5">
      <c r="A2839" s="421" t="s">
        <v>357</v>
      </c>
      <c r="B2839" s="412">
        <f>VLOOKUP(B2827,'BANG LUONG 1'!$B$4:$AJ$55,15,0)</f>
        <v>0</v>
      </c>
      <c r="C2839" s="421">
        <v>13</v>
      </c>
      <c r="D2839" s="41">
        <f>B2835/26/8*1.5*B2839</f>
        <v>0</v>
      </c>
    </row>
    <row r="2840" spans="1:5">
      <c r="A2840" s="421" t="s">
        <v>387</v>
      </c>
      <c r="B2840" s="412">
        <f>VLOOKUP(B2827,'BANG LUONG 1'!$B$4:$AJ$55,16,0)</f>
        <v>0</v>
      </c>
      <c r="C2840" s="421">
        <v>14</v>
      </c>
      <c r="D2840" s="41">
        <f>B2835/26/8*2*B2840</f>
        <v>0</v>
      </c>
    </row>
    <row r="2841" spans="1:5">
      <c r="A2841" s="421" t="s">
        <v>593</v>
      </c>
      <c r="B2841" s="412">
        <f>VLOOKUP(B2827,'BANG LUONG 1'!$B$4:$AJ$55,17,0)</f>
        <v>0</v>
      </c>
      <c r="C2841" s="421"/>
      <c r="D2841" s="41">
        <f>(B2835/26)*B2841</f>
        <v>0</v>
      </c>
    </row>
    <row r="2842" spans="1:5">
      <c r="A2842" s="421" t="s">
        <v>388</v>
      </c>
      <c r="B2842" s="412">
        <f>VLOOKUP(B2827,'BANG LUONG 1'!$B$4:$AJ$55,18,0)</f>
        <v>0</v>
      </c>
      <c r="C2842" s="421">
        <v>15</v>
      </c>
      <c r="D2842" s="41">
        <f>(B2835/26*B2842)*3</f>
        <v>0</v>
      </c>
    </row>
    <row r="2843" spans="1:5">
      <c r="A2843" s="421" t="s">
        <v>533</v>
      </c>
      <c r="B2843" s="412">
        <f>VLOOKUP(B2827,'BANG LUONG 1'!$B$4:$AJ$55,19,0)</f>
        <v>4375168.269230769</v>
      </c>
      <c r="C2843" s="183">
        <v>16</v>
      </c>
      <c r="D2843" s="185">
        <f>B2837+D2839+D2840+D2838+D2842+D2841</f>
        <v>4375168.269230769</v>
      </c>
      <c r="E2843" s="108"/>
    </row>
    <row r="2844" spans="1:5">
      <c r="A2844" s="421" t="s">
        <v>535</v>
      </c>
      <c r="B2844" s="412">
        <f>VLOOKUP(B2827,'BANG LUONG 1'!$B$4:$AJ$55,20,0)</f>
        <v>-4375168.269230769</v>
      </c>
      <c r="C2844" s="421">
        <v>17</v>
      </c>
      <c r="D2844" s="41"/>
    </row>
    <row r="2845" spans="1:5">
      <c r="A2845" s="421" t="s">
        <v>370</v>
      </c>
      <c r="B2845" s="412">
        <f>VLOOKUP(B2827,'BANG LUONG 1'!$B$4:$AJ$55,22,0)</f>
        <v>0</v>
      </c>
      <c r="C2845" s="421">
        <v>18</v>
      </c>
      <c r="D2845" s="41"/>
    </row>
    <row r="2846" spans="1:5">
      <c r="A2846" s="421" t="s">
        <v>371</v>
      </c>
      <c r="B2846" s="412">
        <f>VLOOKUP(B2827,'BANG LUONG 1'!$B$4:$AJ$55,23,0)</f>
        <v>300000</v>
      </c>
      <c r="C2846" s="421">
        <v>19</v>
      </c>
      <c r="D2846" s="41"/>
    </row>
    <row r="2847" spans="1:5">
      <c r="A2847" s="421" t="s">
        <v>560</v>
      </c>
      <c r="B2847" s="412">
        <f>VLOOKUP(B2827,'BANG LUONG 1'!$B$4:$AJ$55,24,0)</f>
        <v>0</v>
      </c>
      <c r="C2847" s="421">
        <v>22</v>
      </c>
      <c r="D2847" s="41"/>
    </row>
    <row r="2848" spans="1:5">
      <c r="A2848" s="183" t="s">
        <v>237</v>
      </c>
      <c r="B2848" s="415">
        <f>VLOOKUP(B2827,'BANG LUONG 1'!$B$4:$AJ$55,26,0)</f>
        <v>300000</v>
      </c>
      <c r="C2848" s="421">
        <v>24</v>
      </c>
      <c r="D2848" s="41"/>
    </row>
    <row r="2849" spans="1:5">
      <c r="A2849" s="421" t="s">
        <v>545</v>
      </c>
      <c r="B2849" s="412">
        <f>VLOOKUP(B2827,'BANG LUONG 1'!$B$4:$AJ$55,27,0)</f>
        <v>4000000</v>
      </c>
      <c r="C2849" s="421">
        <v>25</v>
      </c>
      <c r="D2849" s="41"/>
    </row>
    <row r="2850" spans="1:5">
      <c r="A2850" s="421" t="s">
        <v>544</v>
      </c>
      <c r="B2850" s="412">
        <f>VLOOKUP(B2827,'BANG LUONG 1'!$B$4:$AJ$55,28,0)</f>
        <v>0</v>
      </c>
      <c r="C2850" s="421">
        <v>26</v>
      </c>
      <c r="D2850" s="41"/>
    </row>
    <row r="2851" spans="1:5">
      <c r="A2851" s="421" t="s">
        <v>713</v>
      </c>
      <c r="B2851" s="415">
        <f>VLOOKUP(B2827,'BANG LUONG 1'!$B$4:$AJ$55,32,0)</f>
        <v>0</v>
      </c>
      <c r="C2851" s="421"/>
      <c r="D2851" s="41"/>
    </row>
    <row r="2852" spans="1:5">
      <c r="A2852" s="421" t="s">
        <v>714</v>
      </c>
      <c r="B2852" s="415">
        <f>VLOOKUP(B2827,'BANG LUONG 1'!$B$4:$AJ$55,33,0)</f>
        <v>0</v>
      </c>
      <c r="C2852" s="421"/>
      <c r="D2852" s="41"/>
    </row>
    <row r="2853" spans="1:5">
      <c r="A2853" s="183" t="s">
        <v>707</v>
      </c>
      <c r="B2853" s="415">
        <f>VLOOKUP(B2827,'BANG LUONG 1'!$B$4:$AJ$55,34,0)</f>
        <v>0</v>
      </c>
      <c r="C2853" s="421"/>
      <c r="D2853" s="41"/>
      <c r="E2853" s="108" t="str">
        <f>B2828</f>
        <v>Nguyễn Đình Tâm</v>
      </c>
    </row>
    <row r="2854" spans="1:5">
      <c r="A2854" s="183" t="s">
        <v>546</v>
      </c>
      <c r="B2854" s="415">
        <f>VLOOKUP(B2827,'BANG LUONG 1'!$B$4:$AJ$55,35,0)</f>
        <v>-3700000</v>
      </c>
      <c r="C2854" s="421"/>
      <c r="D2854" s="41"/>
    </row>
    <row r="2855" spans="1:5">
      <c r="A2855" s="183"/>
      <c r="B2855" s="412"/>
      <c r="C2855" s="421">
        <v>27</v>
      </c>
      <c r="D2855" s="185"/>
    </row>
    <row r="2856" spans="1:5">
      <c r="A2856" s="184" t="s">
        <v>549</v>
      </c>
      <c r="B2856" s="424">
        <f>'BANG LUONG 1'!$P$2</f>
        <v>43702</v>
      </c>
    </row>
    <row r="2857" spans="1:5">
      <c r="A2857" s="183" t="s">
        <v>1</v>
      </c>
      <c r="B2857" s="185" t="s">
        <v>166</v>
      </c>
      <c r="C2857" s="421">
        <v>1</v>
      </c>
      <c r="D2857" s="41"/>
    </row>
    <row r="2858" spans="1:5">
      <c r="A2858" s="183" t="s">
        <v>2</v>
      </c>
      <c r="B2858" s="185" t="str">
        <f>VLOOKUP($B2857,'BANG LUONG 1'!$B$5:$AB$47,C2858,0)</f>
        <v>Nguyễn Đình Tâm</v>
      </c>
      <c r="C2858" s="421">
        <v>2</v>
      </c>
      <c r="D2858" s="41"/>
    </row>
    <row r="2859" spans="1:5">
      <c r="A2859" s="421" t="s">
        <v>3</v>
      </c>
      <c r="B2859" s="41" t="str">
        <f>VLOOKUP($B2857,'BANG LUONG 1'!$B$5:$AJ$47,C2859,0)</f>
        <v xml:space="preserve">Công nhân </v>
      </c>
      <c r="C2859" s="421">
        <v>3</v>
      </c>
      <c r="D2859" s="41"/>
    </row>
    <row r="2860" spans="1:5">
      <c r="A2860" s="421" t="s">
        <v>376</v>
      </c>
      <c r="B2860" s="410">
        <f>VLOOKUP($B2857,'BANG LUONG 1'!$B$4:$AJ$55,4,0)</f>
        <v>43648</v>
      </c>
      <c r="C2860" s="421">
        <v>4</v>
      </c>
      <c r="D2860" s="41"/>
    </row>
    <row r="2861" spans="1:5">
      <c r="A2861" s="421" t="s">
        <v>698</v>
      </c>
      <c r="B2861" s="411">
        <f>VLOOKUP(B2857,'BANG LUONG 1'!$B$4:$AJ$55,6,0)</f>
        <v>0</v>
      </c>
      <c r="C2861" s="421">
        <v>5</v>
      </c>
      <c r="D2861" s="41"/>
    </row>
    <row r="2862" spans="1:5">
      <c r="A2862" s="421" t="s">
        <v>229</v>
      </c>
      <c r="B2862" s="412">
        <f>'thang luong moi'!$F$5</f>
        <v>4012500</v>
      </c>
      <c r="C2862" s="421">
        <v>6</v>
      </c>
      <c r="D2862" s="41"/>
    </row>
    <row r="2863" spans="1:5">
      <c r="A2863" s="421" t="s">
        <v>217</v>
      </c>
      <c r="B2863" s="412" t="str">
        <f>VLOOKUP(B2857,'BANG LUONG 1'!$B$4:$AJ$55,8,0)</f>
        <v>B.05</v>
      </c>
      <c r="C2863" s="421">
        <v>7</v>
      </c>
      <c r="D2863" s="41"/>
    </row>
    <row r="2864" spans="1:5">
      <c r="A2864" s="421" t="s">
        <v>230</v>
      </c>
      <c r="B2864" s="412">
        <f>VLOOKUP(B2857,'BANG LUONG 1'!$B$4:$AJ$55,9,0)</f>
        <v>1</v>
      </c>
      <c r="C2864" s="421">
        <v>8</v>
      </c>
      <c r="D2864" s="41"/>
    </row>
    <row r="2865" spans="1:5">
      <c r="A2865" s="421" t="s">
        <v>538</v>
      </c>
      <c r="B2865" s="412">
        <f>VLOOKUP(B2857,'BANG LUONG 1'!$B$4:$AJ$55,11,0)</f>
        <v>4213125</v>
      </c>
      <c r="C2865" s="421">
        <v>9</v>
      </c>
      <c r="D2865" s="41"/>
    </row>
    <row r="2866" spans="1:5">
      <c r="A2866" s="421" t="s">
        <v>354</v>
      </c>
      <c r="B2866" s="412">
        <f>VLOOKUP(B2857,'BANG LUONG 1'!$B$4:$AJ$55,12,0)</f>
        <v>27</v>
      </c>
      <c r="C2866" s="421">
        <v>10</v>
      </c>
      <c r="D2866" s="41"/>
    </row>
    <row r="2867" spans="1:5">
      <c r="A2867" s="421" t="s">
        <v>534</v>
      </c>
      <c r="B2867" s="412">
        <f>VLOOKUP(B2857,'BANG LUONG 1'!$B$4:$AJ$55,13,0)</f>
        <v>4375168.269230769</v>
      </c>
      <c r="C2867" s="421">
        <v>11</v>
      </c>
      <c r="D2867" s="41"/>
    </row>
    <row r="2868" spans="1:5">
      <c r="A2868" s="421" t="s">
        <v>592</v>
      </c>
      <c r="B2868" s="412">
        <f>VLOOKUP(B2857,'BANG LUONG 1'!$B$4:$AJ$55,14,0)</f>
        <v>0</v>
      </c>
      <c r="C2868" s="421">
        <v>12</v>
      </c>
      <c r="D2868" s="41">
        <f>B2865/26*B2868</f>
        <v>0</v>
      </c>
    </row>
    <row r="2869" spans="1:5">
      <c r="A2869" s="421" t="s">
        <v>357</v>
      </c>
      <c r="B2869" s="412">
        <f>VLOOKUP(B2857,'BANG LUONG 1'!$B$4:$AJ$55,15,0)</f>
        <v>0</v>
      </c>
      <c r="C2869" s="421">
        <v>13</v>
      </c>
      <c r="D2869" s="41">
        <f>B2865/26/8*1.5*B2869</f>
        <v>0</v>
      </c>
    </row>
    <row r="2870" spans="1:5">
      <c r="A2870" s="421" t="s">
        <v>387</v>
      </c>
      <c r="B2870" s="412">
        <f>VLOOKUP(B2857,'BANG LUONG 1'!$B$4:$AJ$55,16,0)</f>
        <v>0</v>
      </c>
      <c r="C2870" s="421">
        <v>14</v>
      </c>
      <c r="D2870" s="41">
        <f>B2865/26/8*2*B2870</f>
        <v>0</v>
      </c>
    </row>
    <row r="2871" spans="1:5">
      <c r="A2871" s="421" t="s">
        <v>593</v>
      </c>
      <c r="B2871" s="412">
        <f>VLOOKUP(B2857,'BANG LUONG 1'!$B$4:$AJ$55,17,0)</f>
        <v>0</v>
      </c>
      <c r="C2871" s="421"/>
      <c r="D2871" s="41">
        <f>(B2865/26)*B2871</f>
        <v>0</v>
      </c>
    </row>
    <row r="2872" spans="1:5">
      <c r="A2872" s="421" t="s">
        <v>388</v>
      </c>
      <c r="B2872" s="412">
        <f>VLOOKUP(B2857,'BANG LUONG 1'!$B$4:$AJ$55,18,0)</f>
        <v>0</v>
      </c>
      <c r="C2872" s="421">
        <v>15</v>
      </c>
      <c r="D2872" s="41">
        <f>(B2865/26*B2872)*3</f>
        <v>0</v>
      </c>
    </row>
    <row r="2873" spans="1:5">
      <c r="A2873" s="421" t="s">
        <v>533</v>
      </c>
      <c r="B2873" s="412">
        <f>VLOOKUP(B2857,'BANG LUONG 1'!$B$4:$AJ$55,19,0)</f>
        <v>4375168.269230769</v>
      </c>
      <c r="C2873" s="183">
        <v>16</v>
      </c>
      <c r="D2873" s="185">
        <f>B2867+D2869+D2870+D2868+D2872+D2871</f>
        <v>4375168.269230769</v>
      </c>
      <c r="E2873" s="108"/>
    </row>
    <row r="2874" spans="1:5">
      <c r="A2874" s="421" t="s">
        <v>535</v>
      </c>
      <c r="B2874" s="412">
        <f>VLOOKUP(B2857,'BANG LUONG 1'!$B$4:$AJ$55,20,0)</f>
        <v>-4375168.269230769</v>
      </c>
      <c r="C2874" s="421">
        <v>17</v>
      </c>
      <c r="D2874" s="41"/>
    </row>
    <row r="2875" spans="1:5">
      <c r="A2875" s="421" t="s">
        <v>370</v>
      </c>
      <c r="B2875" s="412">
        <f>VLOOKUP(B2857,'BANG LUONG 1'!$B$4:$AJ$55,22,0)</f>
        <v>0</v>
      </c>
      <c r="C2875" s="421">
        <v>18</v>
      </c>
      <c r="D2875" s="41"/>
    </row>
    <row r="2876" spans="1:5">
      <c r="A2876" s="421" t="s">
        <v>371</v>
      </c>
      <c r="B2876" s="412">
        <f>VLOOKUP(B2857,'BANG LUONG 1'!$B$4:$AJ$55,23,0)</f>
        <v>300000</v>
      </c>
      <c r="C2876" s="421">
        <v>19</v>
      </c>
      <c r="D2876" s="41"/>
    </row>
    <row r="2877" spans="1:5">
      <c r="A2877" s="421" t="s">
        <v>560</v>
      </c>
      <c r="B2877" s="412">
        <f>VLOOKUP(B2857,'BANG LUONG 1'!$B$4:$AJ$55,24,0)</f>
        <v>0</v>
      </c>
      <c r="C2877" s="421">
        <v>22</v>
      </c>
      <c r="D2877" s="41"/>
    </row>
    <row r="2878" spans="1:5">
      <c r="A2878" s="183" t="s">
        <v>237</v>
      </c>
      <c r="B2878" s="415">
        <f>VLOOKUP(B2857,'BANG LUONG 1'!$B$4:$AJ$55,26,0)</f>
        <v>300000</v>
      </c>
      <c r="C2878" s="421">
        <v>24</v>
      </c>
      <c r="D2878" s="41"/>
    </row>
    <row r="2879" spans="1:5">
      <c r="A2879" s="421" t="s">
        <v>545</v>
      </c>
      <c r="B2879" s="412">
        <f>VLOOKUP(B2857,'BANG LUONG 1'!$B$4:$AJ$55,27,0)</f>
        <v>4000000</v>
      </c>
      <c r="C2879" s="421">
        <v>25</v>
      </c>
      <c r="D2879" s="41"/>
    </row>
    <row r="2880" spans="1:5">
      <c r="A2880" s="421" t="s">
        <v>544</v>
      </c>
      <c r="B2880" s="412">
        <f>VLOOKUP(B2857,'BANG LUONG 1'!$B$4:$AJ$55,28,0)</f>
        <v>0</v>
      </c>
      <c r="C2880" s="421">
        <v>26</v>
      </c>
      <c r="D2880" s="41"/>
    </row>
    <row r="2881" spans="1:5">
      <c r="A2881" s="421" t="s">
        <v>713</v>
      </c>
      <c r="B2881" s="415">
        <f>VLOOKUP(B2857,'BANG LUONG 1'!$B$4:$AJ$55,32,0)</f>
        <v>0</v>
      </c>
      <c r="C2881" s="421"/>
      <c r="D2881" s="41"/>
    </row>
    <row r="2882" spans="1:5">
      <c r="A2882" s="421" t="s">
        <v>714</v>
      </c>
      <c r="B2882" s="415">
        <f>VLOOKUP(B2857,'BANG LUONG 1'!$B$4:$AJ$55,33,0)</f>
        <v>0</v>
      </c>
      <c r="C2882" s="421"/>
      <c r="D2882" s="41"/>
    </row>
    <row r="2883" spans="1:5">
      <c r="A2883" s="183" t="s">
        <v>707</v>
      </c>
      <c r="B2883" s="415">
        <f>VLOOKUP(B2857,'BANG LUONG 1'!$B$4:$AJ$55,34,0)</f>
        <v>0</v>
      </c>
      <c r="C2883" s="421"/>
      <c r="D2883" s="41"/>
      <c r="E2883" s="108" t="str">
        <f>B2858</f>
        <v>Nguyễn Đình Tâm</v>
      </c>
    </row>
    <row r="2884" spans="1:5">
      <c r="A2884" s="183" t="s">
        <v>546</v>
      </c>
      <c r="B2884" s="415">
        <f>VLOOKUP(B2857,'BANG LUONG 1'!$B$4:$AJ$55,35,0)</f>
        <v>-3700000</v>
      </c>
      <c r="C2884" s="421"/>
      <c r="D2884" s="41"/>
    </row>
    <row r="2885" spans="1:5">
      <c r="A2885" s="183"/>
      <c r="B2885" s="412"/>
      <c r="C2885" s="421">
        <v>27</v>
      </c>
      <c r="D2885" s="185"/>
    </row>
    <row r="2886" spans="1:5">
      <c r="A2886" s="184" t="s">
        <v>549</v>
      </c>
      <c r="B2886" s="424">
        <f>'BANG LUONG 1'!$P$2</f>
        <v>43702</v>
      </c>
    </row>
    <row r="2887" spans="1:5">
      <c r="A2887" s="183" t="s">
        <v>1</v>
      </c>
      <c r="B2887" s="185" t="s">
        <v>167</v>
      </c>
      <c r="C2887" s="421">
        <v>1</v>
      </c>
      <c r="D2887" s="41"/>
    </row>
    <row r="2888" spans="1:5">
      <c r="A2888" s="183" t="s">
        <v>2</v>
      </c>
      <c r="B2888" s="185" t="e">
        <f>VLOOKUP($B2887,'BANG LUONG 1'!$B$5:$AB$49,C2888,0)</f>
        <v>#N/A</v>
      </c>
      <c r="C2888" s="421">
        <v>2</v>
      </c>
      <c r="D2888" s="41"/>
    </row>
    <row r="2889" spans="1:5">
      <c r="A2889" s="421" t="s">
        <v>3</v>
      </c>
      <c r="B2889" s="41" t="e">
        <f>VLOOKUP($B2887,'BANG LUONG 1'!$B$5:$AJ$47,C2889,0)</f>
        <v>#N/A</v>
      </c>
      <c r="C2889" s="421">
        <v>3</v>
      </c>
      <c r="D2889" s="41"/>
    </row>
    <row r="2890" spans="1:5">
      <c r="A2890" s="421" t="s">
        <v>376</v>
      </c>
      <c r="B2890" s="410">
        <f>VLOOKUP($B2887,'BANG LUONG 1'!$B$4:$AJ$55,4,0)</f>
        <v>43668</v>
      </c>
      <c r="C2890" s="421">
        <v>4</v>
      </c>
      <c r="D2890" s="41"/>
    </row>
    <row r="2891" spans="1:5">
      <c r="A2891" s="421" t="s">
        <v>698</v>
      </c>
      <c r="B2891" s="411">
        <f>VLOOKUP(B2887,'BANG LUONG 1'!$B$4:$AJ$55,6,0)</f>
        <v>0</v>
      </c>
      <c r="C2891" s="421">
        <v>5</v>
      </c>
      <c r="D2891" s="41"/>
    </row>
    <row r="2892" spans="1:5">
      <c r="A2892" s="421" t="s">
        <v>229</v>
      </c>
      <c r="B2892" s="412">
        <f>'thang luong moi'!$F$5</f>
        <v>4012500</v>
      </c>
      <c r="C2892" s="421">
        <v>6</v>
      </c>
      <c r="D2892" s="41"/>
    </row>
    <row r="2893" spans="1:5">
      <c r="A2893" s="421" t="s">
        <v>217</v>
      </c>
      <c r="B2893" s="412" t="str">
        <f>VLOOKUP(B2887,'BANG LUONG 1'!$B$4:$AJ$55,8,0)</f>
        <v>B.05</v>
      </c>
      <c r="C2893" s="421">
        <v>7</v>
      </c>
      <c r="D2893" s="41"/>
    </row>
    <row r="2894" spans="1:5">
      <c r="A2894" s="421" t="s">
        <v>230</v>
      </c>
      <c r="B2894" s="412">
        <f>VLOOKUP(B2887,'BANG LUONG 1'!$B$4:$AJ$55,9,0)</f>
        <v>1</v>
      </c>
      <c r="C2894" s="421">
        <v>8</v>
      </c>
      <c r="D2894" s="41"/>
    </row>
    <row r="2895" spans="1:5">
      <c r="A2895" s="421" t="s">
        <v>538</v>
      </c>
      <c r="B2895" s="412">
        <f>VLOOKUP(B2887,'BANG LUONG 1'!$B$4:$AJ$55,11,0)</f>
        <v>4213125</v>
      </c>
      <c r="C2895" s="421">
        <v>9</v>
      </c>
      <c r="D2895" s="41"/>
    </row>
    <row r="2896" spans="1:5">
      <c r="A2896" s="421" t="s">
        <v>354</v>
      </c>
      <c r="B2896" s="412">
        <f>VLOOKUP(B2887,'BANG LUONG 1'!$B$4:$AJ$55,12,0)</f>
        <v>27</v>
      </c>
      <c r="C2896" s="421">
        <v>10</v>
      </c>
      <c r="D2896" s="41"/>
    </row>
    <row r="2897" spans="1:5">
      <c r="A2897" s="421" t="s">
        <v>534</v>
      </c>
      <c r="B2897" s="412">
        <f>VLOOKUP(B2887,'BANG LUONG 1'!$B$4:$AJ$55,13,0)</f>
        <v>4375168.269230769</v>
      </c>
      <c r="C2897" s="421">
        <v>11</v>
      </c>
      <c r="D2897" s="41"/>
    </row>
    <row r="2898" spans="1:5">
      <c r="A2898" s="421" t="s">
        <v>592</v>
      </c>
      <c r="B2898" s="412">
        <f>VLOOKUP(B2887,'BANG LUONG 1'!$B$4:$AJ$55,14,0)</f>
        <v>0</v>
      </c>
      <c r="C2898" s="421">
        <v>12</v>
      </c>
      <c r="D2898" s="41">
        <f>B2895/26*B2898</f>
        <v>0</v>
      </c>
    </row>
    <row r="2899" spans="1:5">
      <c r="A2899" s="421" t="s">
        <v>357</v>
      </c>
      <c r="B2899" s="412">
        <f>VLOOKUP(B2887,'BANG LUONG 1'!$B$4:$AJ$55,15,0)</f>
        <v>0</v>
      </c>
      <c r="C2899" s="421">
        <v>13</v>
      </c>
      <c r="D2899" s="41">
        <f>B2895/26/8*1.5*B2899</f>
        <v>0</v>
      </c>
    </row>
    <row r="2900" spans="1:5">
      <c r="A2900" s="421" t="s">
        <v>387</v>
      </c>
      <c r="B2900" s="412">
        <f>VLOOKUP(B2887,'BANG LUONG 1'!$B$4:$AJ$55,16,0)</f>
        <v>0</v>
      </c>
      <c r="C2900" s="421">
        <v>14</v>
      </c>
      <c r="D2900" s="41">
        <f>B2895/26/8*2*B2900</f>
        <v>0</v>
      </c>
    </row>
    <row r="2901" spans="1:5">
      <c r="A2901" s="421" t="s">
        <v>593</v>
      </c>
      <c r="B2901" s="412">
        <f>VLOOKUP(B2887,'BANG LUONG 1'!$B$4:$AJ$55,17,0)</f>
        <v>0</v>
      </c>
      <c r="C2901" s="421"/>
      <c r="D2901" s="41">
        <f>(B2895/26)*B2901</f>
        <v>0</v>
      </c>
    </row>
    <row r="2902" spans="1:5">
      <c r="A2902" s="421" t="s">
        <v>388</v>
      </c>
      <c r="B2902" s="412">
        <f>VLOOKUP(B2887,'BANG LUONG 1'!$B$4:$AJ$55,18,0)</f>
        <v>0</v>
      </c>
      <c r="C2902" s="421">
        <v>15</v>
      </c>
      <c r="D2902" s="41">
        <f>(B2895/26*B2902)*3</f>
        <v>0</v>
      </c>
    </row>
    <row r="2903" spans="1:5">
      <c r="A2903" s="421" t="s">
        <v>533</v>
      </c>
      <c r="B2903" s="412">
        <f>VLOOKUP(B2887,'BANG LUONG 1'!$B$4:$AJ$55,19,0)</f>
        <v>4375168.269230769</v>
      </c>
      <c r="C2903" s="183">
        <v>16</v>
      </c>
      <c r="D2903" s="185">
        <f>B2897+D2899+D2900+D2898+D2902+D2901</f>
        <v>4375168.269230769</v>
      </c>
      <c r="E2903" s="108"/>
    </row>
    <row r="2904" spans="1:5">
      <c r="A2904" s="421" t="s">
        <v>535</v>
      </c>
      <c r="B2904" s="412">
        <f>VLOOKUP(B2887,'BANG LUONG 1'!$B$4:$AJ$55,20,0)</f>
        <v>-4375168.269230769</v>
      </c>
      <c r="C2904" s="421">
        <v>17</v>
      </c>
      <c r="D2904" s="41"/>
    </row>
    <row r="2905" spans="1:5">
      <c r="A2905" s="421" t="s">
        <v>370</v>
      </c>
      <c r="B2905" s="412">
        <f>VLOOKUP(B2887,'BANG LUONG 1'!$B$4:$AJ$55,22,0)</f>
        <v>0</v>
      </c>
      <c r="C2905" s="421">
        <v>18</v>
      </c>
      <c r="D2905" s="41"/>
    </row>
    <row r="2906" spans="1:5">
      <c r="A2906" s="421" t="s">
        <v>371</v>
      </c>
      <c r="B2906" s="412">
        <f>VLOOKUP(B2887,'BANG LUONG 1'!$B$4:$AJ$55,23,0)</f>
        <v>300000</v>
      </c>
      <c r="C2906" s="421">
        <v>19</v>
      </c>
      <c r="D2906" s="41"/>
    </row>
    <row r="2907" spans="1:5">
      <c r="A2907" s="421" t="s">
        <v>560</v>
      </c>
      <c r="B2907" s="412">
        <f>VLOOKUP(B2887,'BANG LUONG 1'!$B$4:$AJ$55,24,0)</f>
        <v>0</v>
      </c>
      <c r="C2907" s="421">
        <v>22</v>
      </c>
      <c r="D2907" s="41"/>
    </row>
    <row r="2908" spans="1:5">
      <c r="A2908" s="183" t="s">
        <v>237</v>
      </c>
      <c r="B2908" s="415">
        <f>VLOOKUP(B2887,'BANG LUONG 1'!$B$4:$AJ$55,26,0)</f>
        <v>300000</v>
      </c>
      <c r="C2908" s="421">
        <v>24</v>
      </c>
      <c r="D2908" s="41"/>
    </row>
    <row r="2909" spans="1:5">
      <c r="A2909" s="421" t="s">
        <v>545</v>
      </c>
      <c r="B2909" s="412">
        <f>VLOOKUP(B2887,'BANG LUONG 1'!$B$4:$AJ$55,27,0)</f>
        <v>3000000</v>
      </c>
      <c r="C2909" s="421">
        <v>25</v>
      </c>
      <c r="D2909" s="41"/>
    </row>
    <row r="2910" spans="1:5">
      <c r="A2910" s="421" t="s">
        <v>544</v>
      </c>
      <c r="B2910" s="412">
        <f>VLOOKUP(B2887,'BANG LUONG 1'!$B$4:$AJ$55,28,0)</f>
        <v>0</v>
      </c>
      <c r="C2910" s="421">
        <v>26</v>
      </c>
      <c r="D2910" s="41"/>
    </row>
    <row r="2911" spans="1:5">
      <c r="A2911" s="421" t="s">
        <v>713</v>
      </c>
      <c r="B2911" s="415">
        <f>VLOOKUP(B2887,'BANG LUONG 1'!$B$4:$AJ$55,32,0)</f>
        <v>0</v>
      </c>
      <c r="C2911" s="421"/>
      <c r="D2911" s="41"/>
    </row>
    <row r="2912" spans="1:5">
      <c r="A2912" s="421" t="s">
        <v>714</v>
      </c>
      <c r="B2912" s="415">
        <f>VLOOKUP(B2887,'BANG LUONG 1'!$B$4:$AJ$55,33,0)</f>
        <v>0</v>
      </c>
      <c r="C2912" s="421"/>
      <c r="D2912" s="41"/>
    </row>
    <row r="2913" spans="1:5">
      <c r="A2913" s="183" t="s">
        <v>707</v>
      </c>
      <c r="B2913" s="415">
        <f>VLOOKUP(B2887,'BANG LUONG 1'!$B$4:$AJ$55,34,0)</f>
        <v>0</v>
      </c>
      <c r="C2913" s="421"/>
      <c r="D2913" s="41"/>
      <c r="E2913" s="108" t="e">
        <f>B2888</f>
        <v>#N/A</v>
      </c>
    </row>
    <row r="2914" spans="1:5">
      <c r="A2914" s="183" t="s">
        <v>546</v>
      </c>
      <c r="B2914" s="415">
        <f>VLOOKUP(B2887,'BANG LUONG 1'!$B$4:$AJ$55,35,0)</f>
        <v>-2700000</v>
      </c>
      <c r="C2914" s="421"/>
      <c r="D2914" s="41"/>
    </row>
    <row r="2915" spans="1:5">
      <c r="A2915" s="183"/>
      <c r="B2915" s="412"/>
      <c r="C2915" s="421">
        <v>27</v>
      </c>
      <c r="D2915" s="185"/>
    </row>
    <row r="2916" spans="1:5">
      <c r="A2916" s="184" t="s">
        <v>549</v>
      </c>
      <c r="B2916" s="424">
        <f>'BANG LUONG 1'!$P$2</f>
        <v>43702</v>
      </c>
    </row>
    <row r="2917" spans="1:5">
      <c r="A2917" s="183" t="s">
        <v>1</v>
      </c>
      <c r="B2917" s="185" t="s">
        <v>167</v>
      </c>
      <c r="C2917" s="421">
        <v>1</v>
      </c>
      <c r="D2917" s="41"/>
    </row>
    <row r="2918" spans="1:5">
      <c r="A2918" s="183" t="s">
        <v>2</v>
      </c>
      <c r="B2918" s="185" t="e">
        <f>VLOOKUP($B2917,'BANG LUONG 1'!$B$5:$AB$49,C2918,0)</f>
        <v>#N/A</v>
      </c>
      <c r="C2918" s="421">
        <v>2</v>
      </c>
      <c r="D2918" s="41"/>
    </row>
    <row r="2919" spans="1:5">
      <c r="A2919" s="421" t="s">
        <v>3</v>
      </c>
      <c r="B2919" s="41" t="e">
        <f>VLOOKUP($B2917,'BANG LUONG 1'!$B$5:$AJ$47,C2919,0)</f>
        <v>#N/A</v>
      </c>
      <c r="C2919" s="421">
        <v>3</v>
      </c>
      <c r="D2919" s="41"/>
    </row>
    <row r="2920" spans="1:5">
      <c r="A2920" s="421" t="s">
        <v>376</v>
      </c>
      <c r="B2920" s="410">
        <f>VLOOKUP($B2917,'BANG LUONG 1'!$B$4:$AJ$55,4,0)</f>
        <v>43668</v>
      </c>
      <c r="C2920" s="421">
        <v>4</v>
      </c>
      <c r="D2920" s="41"/>
    </row>
    <row r="2921" spans="1:5">
      <c r="A2921" s="421" t="s">
        <v>698</v>
      </c>
      <c r="B2921" s="411">
        <f>VLOOKUP(B2917,'BANG LUONG 1'!$B$4:$AJ$55,6,0)</f>
        <v>0</v>
      </c>
      <c r="C2921" s="421">
        <v>5</v>
      </c>
      <c r="D2921" s="41"/>
    </row>
    <row r="2922" spans="1:5">
      <c r="A2922" s="421" t="s">
        <v>229</v>
      </c>
      <c r="B2922" s="412">
        <f>'thang luong moi'!$F$5</f>
        <v>4012500</v>
      </c>
      <c r="C2922" s="421">
        <v>6</v>
      </c>
      <c r="D2922" s="41"/>
    </row>
    <row r="2923" spans="1:5">
      <c r="A2923" s="421" t="s">
        <v>217</v>
      </c>
      <c r="B2923" s="412" t="str">
        <f>VLOOKUP(B2917,'BANG LUONG 1'!$B$4:$AJ$55,8,0)</f>
        <v>B.05</v>
      </c>
      <c r="C2923" s="421">
        <v>7</v>
      </c>
      <c r="D2923" s="41"/>
    </row>
    <row r="2924" spans="1:5">
      <c r="A2924" s="421" t="s">
        <v>230</v>
      </c>
      <c r="B2924" s="412">
        <f>VLOOKUP(B2917,'BANG LUONG 1'!$B$4:$AJ$55,9,0)</f>
        <v>1</v>
      </c>
      <c r="C2924" s="421">
        <v>8</v>
      </c>
      <c r="D2924" s="41"/>
    </row>
    <row r="2925" spans="1:5">
      <c r="A2925" s="421" t="s">
        <v>538</v>
      </c>
      <c r="B2925" s="412">
        <f>VLOOKUP(B2917,'BANG LUONG 1'!$B$4:$AJ$55,11,0)</f>
        <v>4213125</v>
      </c>
      <c r="C2925" s="421">
        <v>9</v>
      </c>
      <c r="D2925" s="41"/>
    </row>
    <row r="2926" spans="1:5">
      <c r="A2926" s="421" t="s">
        <v>354</v>
      </c>
      <c r="B2926" s="412">
        <f>VLOOKUP(B2917,'BANG LUONG 1'!$B$4:$AJ$55,12,0)</f>
        <v>27</v>
      </c>
      <c r="C2926" s="421">
        <v>10</v>
      </c>
      <c r="D2926" s="41"/>
    </row>
    <row r="2927" spans="1:5">
      <c r="A2927" s="421" t="s">
        <v>534</v>
      </c>
      <c r="B2927" s="412">
        <f>VLOOKUP(B2917,'BANG LUONG 1'!$B$4:$AJ$55,13,0)</f>
        <v>4375168.269230769</v>
      </c>
      <c r="C2927" s="421">
        <v>11</v>
      </c>
      <c r="D2927" s="41"/>
    </row>
    <row r="2928" spans="1:5">
      <c r="A2928" s="421" t="s">
        <v>592</v>
      </c>
      <c r="B2928" s="412">
        <f>VLOOKUP(B2917,'BANG LUONG 1'!$B$4:$AJ$55,14,0)</f>
        <v>0</v>
      </c>
      <c r="C2928" s="421">
        <v>12</v>
      </c>
      <c r="D2928" s="41">
        <f>B2925/26*B2928</f>
        <v>0</v>
      </c>
    </row>
    <row r="2929" spans="1:5">
      <c r="A2929" s="421" t="s">
        <v>357</v>
      </c>
      <c r="B2929" s="412">
        <f>VLOOKUP(B2917,'BANG LUONG 1'!$B$4:$AJ$55,15,0)</f>
        <v>0</v>
      </c>
      <c r="C2929" s="421">
        <v>13</v>
      </c>
      <c r="D2929" s="41">
        <f>B2925/26/8*1.5*B2929</f>
        <v>0</v>
      </c>
    </row>
    <row r="2930" spans="1:5">
      <c r="A2930" s="421" t="s">
        <v>387</v>
      </c>
      <c r="B2930" s="412">
        <f>VLOOKUP(B2917,'BANG LUONG 1'!$B$4:$AJ$55,16,0)</f>
        <v>0</v>
      </c>
      <c r="C2930" s="421">
        <v>14</v>
      </c>
      <c r="D2930" s="41">
        <f>B2925/26/8*2*B2930</f>
        <v>0</v>
      </c>
    </row>
    <row r="2931" spans="1:5">
      <c r="A2931" s="421" t="s">
        <v>593</v>
      </c>
      <c r="B2931" s="412">
        <f>VLOOKUP(B2917,'BANG LUONG 1'!$B$4:$AJ$55,17,0)</f>
        <v>0</v>
      </c>
      <c r="C2931" s="421"/>
      <c r="D2931" s="41">
        <f>(B2925/26)*B2931</f>
        <v>0</v>
      </c>
    </row>
    <row r="2932" spans="1:5">
      <c r="A2932" s="421" t="s">
        <v>388</v>
      </c>
      <c r="B2932" s="412">
        <f>VLOOKUP(B2917,'BANG LUONG 1'!$B$4:$AJ$55,18,0)</f>
        <v>0</v>
      </c>
      <c r="C2932" s="421">
        <v>15</v>
      </c>
      <c r="D2932" s="41">
        <f>(B2925/26*B2932)*3</f>
        <v>0</v>
      </c>
    </row>
    <row r="2933" spans="1:5">
      <c r="A2933" s="421" t="s">
        <v>533</v>
      </c>
      <c r="B2933" s="412">
        <f>VLOOKUP(B2917,'BANG LUONG 1'!$B$4:$AJ$55,19,0)</f>
        <v>4375168.269230769</v>
      </c>
      <c r="C2933" s="183">
        <v>16</v>
      </c>
      <c r="D2933" s="185">
        <f>B2927+D2929+D2930+D2928+D2932+D2931</f>
        <v>4375168.269230769</v>
      </c>
      <c r="E2933" s="108"/>
    </row>
    <row r="2934" spans="1:5">
      <c r="A2934" s="421" t="s">
        <v>535</v>
      </c>
      <c r="B2934" s="412">
        <f>VLOOKUP(B2917,'BANG LUONG 1'!$B$4:$AJ$55,20,0)</f>
        <v>-4375168.269230769</v>
      </c>
      <c r="C2934" s="421">
        <v>17</v>
      </c>
      <c r="D2934" s="41"/>
    </row>
    <row r="2935" spans="1:5">
      <c r="A2935" s="421" t="s">
        <v>370</v>
      </c>
      <c r="B2935" s="412">
        <f>VLOOKUP(B2917,'BANG LUONG 1'!$B$4:$AJ$55,22,0)</f>
        <v>0</v>
      </c>
      <c r="C2935" s="421">
        <v>18</v>
      </c>
      <c r="D2935" s="41"/>
    </row>
    <row r="2936" spans="1:5">
      <c r="A2936" s="421" t="s">
        <v>371</v>
      </c>
      <c r="B2936" s="412">
        <f>VLOOKUP(B2917,'BANG LUONG 1'!$B$4:$AJ$55,23,0)</f>
        <v>300000</v>
      </c>
      <c r="C2936" s="421">
        <v>19</v>
      </c>
      <c r="D2936" s="41"/>
    </row>
    <row r="2937" spans="1:5">
      <c r="A2937" s="421" t="s">
        <v>560</v>
      </c>
      <c r="B2937" s="412">
        <f>VLOOKUP(B2917,'BANG LUONG 1'!$B$4:$AJ$55,24,0)</f>
        <v>0</v>
      </c>
      <c r="C2937" s="421">
        <v>22</v>
      </c>
      <c r="D2937" s="41"/>
    </row>
    <row r="2938" spans="1:5">
      <c r="A2938" s="183" t="s">
        <v>237</v>
      </c>
      <c r="B2938" s="415">
        <f>VLOOKUP(B2917,'BANG LUONG 1'!$B$4:$AJ$55,26,0)</f>
        <v>300000</v>
      </c>
      <c r="C2938" s="421">
        <v>24</v>
      </c>
      <c r="D2938" s="41"/>
    </row>
    <row r="2939" spans="1:5">
      <c r="A2939" s="421" t="s">
        <v>545</v>
      </c>
      <c r="B2939" s="412">
        <f>VLOOKUP(B2917,'BANG LUONG 1'!$B$4:$AJ$55,27,0)</f>
        <v>3000000</v>
      </c>
      <c r="C2939" s="421">
        <v>25</v>
      </c>
      <c r="D2939" s="41"/>
    </row>
    <row r="2940" spans="1:5">
      <c r="A2940" s="421" t="s">
        <v>544</v>
      </c>
      <c r="B2940" s="412">
        <f>VLOOKUP(B2917,'BANG LUONG 1'!$B$4:$AJ$55,28,0)</f>
        <v>0</v>
      </c>
      <c r="C2940" s="421">
        <v>26</v>
      </c>
      <c r="D2940" s="41"/>
    </row>
    <row r="2941" spans="1:5">
      <c r="A2941" s="421" t="s">
        <v>713</v>
      </c>
      <c r="B2941" s="415">
        <f>VLOOKUP(B2917,'BANG LUONG 1'!$B$4:$AJ$55,32,0)</f>
        <v>0</v>
      </c>
      <c r="C2941" s="421"/>
      <c r="D2941" s="41"/>
    </row>
    <row r="2942" spans="1:5">
      <c r="A2942" s="421" t="s">
        <v>714</v>
      </c>
      <c r="B2942" s="415">
        <f>VLOOKUP(B2917,'BANG LUONG 1'!$B$4:$AJ$55,33,0)</f>
        <v>0</v>
      </c>
      <c r="C2942" s="421"/>
      <c r="D2942" s="41"/>
    </row>
    <row r="2943" spans="1:5">
      <c r="A2943" s="183" t="s">
        <v>707</v>
      </c>
      <c r="B2943" s="415">
        <f>VLOOKUP(B2917,'BANG LUONG 1'!$B$4:$AJ$55,34,0)</f>
        <v>0</v>
      </c>
      <c r="C2943" s="421"/>
      <c r="D2943" s="41"/>
      <c r="E2943" s="108" t="e">
        <f>B2918</f>
        <v>#N/A</v>
      </c>
    </row>
    <row r="2944" spans="1:5">
      <c r="A2944" s="183" t="s">
        <v>546</v>
      </c>
      <c r="B2944" s="415">
        <f>VLOOKUP(B2917,'BANG LUONG 1'!$B$4:$AJ$55,35,0)</f>
        <v>-2700000</v>
      </c>
      <c r="C2944" s="421"/>
      <c r="D2944" s="41"/>
    </row>
    <row r="2945" spans="1:4">
      <c r="A2945" s="184" t="s">
        <v>549</v>
      </c>
      <c r="B2945" s="424">
        <f>'BANG LUONG 1'!$P$2</f>
        <v>43702</v>
      </c>
    </row>
    <row r="2946" spans="1:4">
      <c r="A2946" s="183" t="s">
        <v>1</v>
      </c>
      <c r="B2946" s="185" t="s">
        <v>168</v>
      </c>
      <c r="C2946" s="421">
        <v>1</v>
      </c>
      <c r="D2946" s="41"/>
    </row>
    <row r="2947" spans="1:4">
      <c r="A2947" s="183" t="s">
        <v>2</v>
      </c>
      <c r="B2947" s="185" t="str">
        <f>VLOOKUP($B2946,'BANG LUONG 1'!$B$5:$AB$50,C2947,0)</f>
        <v>Nguyễn Văn Chương</v>
      </c>
      <c r="C2947" s="421">
        <v>2</v>
      </c>
      <c r="D2947" s="41"/>
    </row>
    <row r="2948" spans="1:4">
      <c r="A2948" s="421" t="s">
        <v>3</v>
      </c>
      <c r="B2948" s="41" t="str">
        <f>VLOOKUP($B2946,'BANG LUONG 1'!$B$5:$AJ$47,C2948,0)</f>
        <v xml:space="preserve">Công nhân </v>
      </c>
      <c r="C2948" s="421">
        <v>3</v>
      </c>
      <c r="D2948" s="41"/>
    </row>
    <row r="2949" spans="1:4">
      <c r="A2949" s="421" t="s">
        <v>376</v>
      </c>
      <c r="B2949" s="410">
        <f>VLOOKUP($B2946,'BANG LUONG 1'!$B$4:$AJ$55,4,0)</f>
        <v>43697</v>
      </c>
      <c r="C2949" s="421">
        <v>4</v>
      </c>
      <c r="D2949" s="41"/>
    </row>
    <row r="2950" spans="1:4">
      <c r="A2950" s="421" t="s">
        <v>698</v>
      </c>
      <c r="B2950" s="411">
        <f>VLOOKUP(B2946,'BANG LUONG 1'!$B$4:$AJ$55,6,0)</f>
        <v>0</v>
      </c>
      <c r="C2950" s="421">
        <v>5</v>
      </c>
      <c r="D2950" s="41"/>
    </row>
    <row r="2951" spans="1:4">
      <c r="A2951" s="421" t="s">
        <v>229</v>
      </c>
      <c r="B2951" s="412">
        <f>'thang luong moi'!$F$5</f>
        <v>4012500</v>
      </c>
      <c r="C2951" s="421">
        <v>6</v>
      </c>
      <c r="D2951" s="41"/>
    </row>
    <row r="2952" spans="1:4">
      <c r="A2952" s="421" t="s">
        <v>217</v>
      </c>
      <c r="B2952" s="412" t="str">
        <f>VLOOKUP(B2946,'BANG LUONG 1'!$B$4:$AJ$55,8,0)</f>
        <v>B.05</v>
      </c>
      <c r="C2952" s="421">
        <v>7</v>
      </c>
      <c r="D2952" s="41"/>
    </row>
    <row r="2953" spans="1:4">
      <c r="A2953" s="421" t="s">
        <v>230</v>
      </c>
      <c r="B2953" s="412">
        <f>VLOOKUP(B2946,'BANG LUONG 1'!$B$4:$AJ$55,9,0)</f>
        <v>1</v>
      </c>
      <c r="C2953" s="421">
        <v>8</v>
      </c>
      <c r="D2953" s="41"/>
    </row>
    <row r="2954" spans="1:4">
      <c r="A2954" s="421" t="s">
        <v>538</v>
      </c>
      <c r="B2954" s="412">
        <f>VLOOKUP(B2946,'BANG LUONG 1'!$B$4:$AJ$55,11,0)</f>
        <v>4213125</v>
      </c>
      <c r="C2954" s="421">
        <v>9</v>
      </c>
      <c r="D2954" s="41"/>
    </row>
    <row r="2955" spans="1:4">
      <c r="A2955" s="421" t="s">
        <v>354</v>
      </c>
      <c r="B2955" s="412">
        <f>VLOOKUP(B2946,'BANG LUONG 1'!$B$4:$AJ$55,12,0)</f>
        <v>27</v>
      </c>
      <c r="C2955" s="421">
        <v>10</v>
      </c>
      <c r="D2955" s="41"/>
    </row>
    <row r="2956" spans="1:4">
      <c r="A2956" s="421" t="s">
        <v>534</v>
      </c>
      <c r="B2956" s="412">
        <f>VLOOKUP(B2946,'BANG LUONG 1'!$B$4:$AJ$55,13,0)</f>
        <v>4375168.269230769</v>
      </c>
      <c r="C2956" s="421">
        <v>11</v>
      </c>
      <c r="D2956" s="41"/>
    </row>
    <row r="2957" spans="1:4">
      <c r="A2957" s="421" t="s">
        <v>592</v>
      </c>
      <c r="B2957" s="412">
        <f>VLOOKUP(B2946,'BANG LUONG 1'!$B$4:$AJ$55,14,0)</f>
        <v>0</v>
      </c>
      <c r="C2957" s="421">
        <v>12</v>
      </c>
      <c r="D2957" s="41">
        <f>B2954/26*B2957</f>
        <v>0</v>
      </c>
    </row>
    <row r="2958" spans="1:4">
      <c r="A2958" s="421" t="s">
        <v>357</v>
      </c>
      <c r="B2958" s="412">
        <f>VLOOKUP(B2946,'BANG LUONG 1'!$B$4:$AJ$55,15,0)</f>
        <v>0</v>
      </c>
      <c r="C2958" s="421">
        <v>13</v>
      </c>
      <c r="D2958" s="41">
        <f>B2954/26/8*1.5*B2958</f>
        <v>0</v>
      </c>
    </row>
    <row r="2959" spans="1:4">
      <c r="A2959" s="421" t="s">
        <v>387</v>
      </c>
      <c r="B2959" s="412">
        <f>VLOOKUP(B2946,'BANG LUONG 1'!$B$4:$AJ$55,16,0)</f>
        <v>0</v>
      </c>
      <c r="C2959" s="421">
        <v>14</v>
      </c>
      <c r="D2959" s="41">
        <f>B2954/26/8*2*B2959</f>
        <v>0</v>
      </c>
    </row>
    <row r="2960" spans="1:4">
      <c r="A2960" s="421" t="s">
        <v>593</v>
      </c>
      <c r="B2960" s="412">
        <f>VLOOKUP(B2946,'BANG LUONG 1'!$B$4:$AJ$55,17,0)</f>
        <v>0</v>
      </c>
      <c r="C2960" s="421"/>
      <c r="D2960" s="41">
        <f>(B2954/26)*B2960</f>
        <v>0</v>
      </c>
    </row>
    <row r="2961" spans="1:5">
      <c r="A2961" s="421" t="s">
        <v>388</v>
      </c>
      <c r="B2961" s="412">
        <f>VLOOKUP(B2946,'BANG LUONG 1'!$B$4:$AJ$55,18,0)</f>
        <v>0</v>
      </c>
      <c r="C2961" s="421">
        <v>15</v>
      </c>
      <c r="D2961" s="41">
        <f>(B2954/26*B2961)*3</f>
        <v>0</v>
      </c>
    </row>
    <row r="2962" spans="1:5">
      <c r="A2962" s="421" t="s">
        <v>533</v>
      </c>
      <c r="B2962" s="412">
        <f>VLOOKUP(B2946,'BANG LUONG 1'!$B$4:$AJ$55,19,0)</f>
        <v>4375168.269230769</v>
      </c>
      <c r="C2962" s="183">
        <v>16</v>
      </c>
      <c r="D2962" s="185">
        <f>B2956+D2958+D2959+D2957+D2961+D2960</f>
        <v>4375168.269230769</v>
      </c>
      <c r="E2962" s="108"/>
    </row>
    <row r="2963" spans="1:5">
      <c r="A2963" s="421" t="s">
        <v>535</v>
      </c>
      <c r="B2963" s="412">
        <f>VLOOKUP(B2946,'BANG LUONG 1'!$B$4:$AJ$55,20,0)</f>
        <v>-4375168.269230769</v>
      </c>
      <c r="C2963" s="421">
        <v>17</v>
      </c>
      <c r="D2963" s="41"/>
    </row>
    <row r="2964" spans="1:5">
      <c r="A2964" s="421" t="s">
        <v>370</v>
      </c>
      <c r="B2964" s="412">
        <f>VLOOKUP(B2946,'BANG LUONG 1'!$B$4:$AJ$55,22,0)</f>
        <v>0</v>
      </c>
      <c r="C2964" s="421">
        <v>18</v>
      </c>
      <c r="D2964" s="41"/>
    </row>
    <row r="2965" spans="1:5">
      <c r="A2965" s="421" t="s">
        <v>371</v>
      </c>
      <c r="B2965" s="412">
        <f>VLOOKUP(B2946,'BANG LUONG 1'!$B$4:$AJ$55,23,0)</f>
        <v>300000</v>
      </c>
      <c r="C2965" s="421">
        <v>19</v>
      </c>
      <c r="D2965" s="41"/>
    </row>
    <row r="2966" spans="1:5">
      <c r="A2966" s="421" t="s">
        <v>560</v>
      </c>
      <c r="B2966" s="412">
        <f>VLOOKUP(B2946,'BANG LUONG 1'!$B$4:$AJ$55,24,0)</f>
        <v>0</v>
      </c>
      <c r="C2966" s="421">
        <v>22</v>
      </c>
      <c r="D2966" s="41"/>
    </row>
    <row r="2967" spans="1:5">
      <c r="A2967" s="183" t="s">
        <v>237</v>
      </c>
      <c r="B2967" s="415">
        <f>VLOOKUP(B2946,'BANG LUONG 1'!$B$4:$AJ$55,26,0)</f>
        <v>300000</v>
      </c>
      <c r="C2967" s="421">
        <v>24</v>
      </c>
      <c r="D2967" s="41"/>
    </row>
    <row r="2968" spans="1:5">
      <c r="A2968" s="421" t="s">
        <v>545</v>
      </c>
      <c r="B2968" s="412">
        <f>VLOOKUP(B2946,'BANG LUONG 1'!$B$4:$AJ$55,27,0)</f>
        <v>0</v>
      </c>
      <c r="C2968" s="421">
        <v>25</v>
      </c>
      <c r="D2968" s="41"/>
    </row>
    <row r="2969" spans="1:5">
      <c r="A2969" s="421" t="s">
        <v>544</v>
      </c>
      <c r="B2969" s="412">
        <f>VLOOKUP(B2946,'BANG LUONG 1'!$B$4:$AJ$55,28,0)</f>
        <v>0</v>
      </c>
      <c r="C2969" s="421">
        <v>26</v>
      </c>
      <c r="D2969" s="41"/>
    </row>
    <row r="2970" spans="1:5">
      <c r="A2970" s="421" t="s">
        <v>713</v>
      </c>
      <c r="B2970" s="415">
        <f>VLOOKUP(B2946,'BANG LUONG 1'!$B$4:$AJ$55,32,0)</f>
        <v>0</v>
      </c>
      <c r="C2970" s="421"/>
      <c r="D2970" s="41"/>
    </row>
    <row r="2971" spans="1:5">
      <c r="A2971" s="421" t="s">
        <v>714</v>
      </c>
      <c r="B2971" s="415">
        <f>VLOOKUP(B2946,'BANG LUONG 1'!$B$4:$AJ$55,33,0)</f>
        <v>0</v>
      </c>
      <c r="C2971" s="421"/>
      <c r="D2971" s="41"/>
    </row>
    <row r="2972" spans="1:5">
      <c r="A2972" s="183" t="s">
        <v>707</v>
      </c>
      <c r="B2972" s="415">
        <f>VLOOKUP(B2946,'BANG LUONG 1'!$B$4:$AJ$55,34,0)</f>
        <v>0</v>
      </c>
      <c r="C2972" s="421"/>
      <c r="D2972" s="41"/>
      <c r="E2972" s="108" t="str">
        <f>B2947</f>
        <v>Nguyễn Văn Chương</v>
      </c>
    </row>
    <row r="2973" spans="1:5">
      <c r="A2973" s="183" t="s">
        <v>546</v>
      </c>
      <c r="B2973" s="415">
        <f>VLOOKUP(B2946,'BANG LUONG 1'!$B$4:$AJ$55,35,0)</f>
        <v>300000</v>
      </c>
      <c r="C2973" s="421"/>
      <c r="D2973" s="41"/>
    </row>
    <row r="2974" spans="1:5">
      <c r="A2974" s="183"/>
      <c r="B2974" s="412"/>
      <c r="C2974" s="421">
        <v>27</v>
      </c>
      <c r="D2974" s="185"/>
    </row>
    <row r="2975" spans="1:5">
      <c r="A2975" s="184" t="s">
        <v>549</v>
      </c>
      <c r="B2975" s="424">
        <f>'BANG LUONG 1'!$P$2</f>
        <v>43702</v>
      </c>
    </row>
    <row r="2976" spans="1:5">
      <c r="A2976" s="183" t="s">
        <v>1</v>
      </c>
      <c r="B2976" s="185" t="s">
        <v>168</v>
      </c>
      <c r="C2976" s="421">
        <v>1</v>
      </c>
      <c r="D2976" s="41"/>
    </row>
    <row r="2977" spans="1:5">
      <c r="A2977" s="183" t="s">
        <v>2</v>
      </c>
      <c r="B2977" s="185" t="str">
        <f>VLOOKUP($B2976,'BANG LUONG 1'!$B$5:$AB$50,C2977,0)</f>
        <v>Nguyễn Văn Chương</v>
      </c>
      <c r="C2977" s="421">
        <v>2</v>
      </c>
      <c r="D2977" s="41"/>
    </row>
    <row r="2978" spans="1:5">
      <c r="A2978" s="421" t="s">
        <v>3</v>
      </c>
      <c r="B2978" s="41" t="str">
        <f>VLOOKUP($B2976,'BANG LUONG 1'!$B$5:$AJ$47,C2978,0)</f>
        <v xml:space="preserve">Công nhân </v>
      </c>
      <c r="C2978" s="421">
        <v>3</v>
      </c>
      <c r="D2978" s="41"/>
    </row>
    <row r="2979" spans="1:5">
      <c r="A2979" s="421" t="s">
        <v>376</v>
      </c>
      <c r="B2979" s="410">
        <f>VLOOKUP($B2976,'BANG LUONG 1'!$B$4:$AJ$55,4,0)</f>
        <v>43697</v>
      </c>
      <c r="C2979" s="421">
        <v>4</v>
      </c>
      <c r="D2979" s="41"/>
    </row>
    <row r="2980" spans="1:5">
      <c r="A2980" s="421" t="s">
        <v>698</v>
      </c>
      <c r="B2980" s="411">
        <f>VLOOKUP(B2976,'BANG LUONG 1'!$B$4:$AJ$55,6,0)</f>
        <v>0</v>
      </c>
      <c r="C2980" s="421">
        <v>5</v>
      </c>
      <c r="D2980" s="41"/>
    </row>
    <row r="2981" spans="1:5">
      <c r="A2981" s="421" t="s">
        <v>229</v>
      </c>
      <c r="B2981" s="412">
        <f>'thang luong moi'!$F$5</f>
        <v>4012500</v>
      </c>
      <c r="C2981" s="421">
        <v>6</v>
      </c>
      <c r="D2981" s="41"/>
    </row>
    <row r="2982" spans="1:5">
      <c r="A2982" s="421" t="s">
        <v>217</v>
      </c>
      <c r="B2982" s="412" t="str">
        <f>VLOOKUP(B2976,'BANG LUONG 1'!$B$4:$AJ$55,8,0)</f>
        <v>B.05</v>
      </c>
      <c r="C2982" s="421">
        <v>7</v>
      </c>
      <c r="D2982" s="41"/>
    </row>
    <row r="2983" spans="1:5">
      <c r="A2983" s="421" t="s">
        <v>230</v>
      </c>
      <c r="B2983" s="412">
        <f>VLOOKUP(B2976,'BANG LUONG 1'!$B$4:$AJ$55,9,0)</f>
        <v>1</v>
      </c>
      <c r="C2983" s="421">
        <v>8</v>
      </c>
      <c r="D2983" s="41"/>
    </row>
    <row r="2984" spans="1:5">
      <c r="A2984" s="421" t="s">
        <v>538</v>
      </c>
      <c r="B2984" s="412">
        <f>VLOOKUP(B2976,'BANG LUONG 1'!$B$4:$AJ$55,11,0)</f>
        <v>4213125</v>
      </c>
      <c r="C2984" s="421">
        <v>9</v>
      </c>
      <c r="D2984" s="41"/>
    </row>
    <row r="2985" spans="1:5">
      <c r="A2985" s="421" t="s">
        <v>354</v>
      </c>
      <c r="B2985" s="412">
        <f>VLOOKUP(B2976,'BANG LUONG 1'!$B$4:$AJ$55,12,0)</f>
        <v>27</v>
      </c>
      <c r="C2985" s="421">
        <v>10</v>
      </c>
      <c r="D2985" s="41"/>
    </row>
    <row r="2986" spans="1:5">
      <c r="A2986" s="421" t="s">
        <v>534</v>
      </c>
      <c r="B2986" s="412">
        <f>VLOOKUP(B2976,'BANG LUONG 1'!$B$4:$AJ$55,13,0)</f>
        <v>4375168.269230769</v>
      </c>
      <c r="C2986" s="421">
        <v>11</v>
      </c>
      <c r="D2986" s="41"/>
    </row>
    <row r="2987" spans="1:5">
      <c r="A2987" s="421" t="s">
        <v>592</v>
      </c>
      <c r="B2987" s="412">
        <f>VLOOKUP(B2976,'BANG LUONG 1'!$B$4:$AJ$55,14,0)</f>
        <v>0</v>
      </c>
      <c r="C2987" s="421">
        <v>12</v>
      </c>
      <c r="D2987" s="41">
        <f>B2984/26*B2987</f>
        <v>0</v>
      </c>
    </row>
    <row r="2988" spans="1:5">
      <c r="A2988" s="421" t="s">
        <v>357</v>
      </c>
      <c r="B2988" s="412">
        <f>VLOOKUP(B2976,'BANG LUONG 1'!$B$4:$AJ$55,15,0)</f>
        <v>0</v>
      </c>
      <c r="C2988" s="421">
        <v>13</v>
      </c>
      <c r="D2988" s="41">
        <f>B2984/26/8*1.5*B2988</f>
        <v>0</v>
      </c>
    </row>
    <row r="2989" spans="1:5">
      <c r="A2989" s="421" t="s">
        <v>387</v>
      </c>
      <c r="B2989" s="412">
        <f>VLOOKUP(B2976,'BANG LUONG 1'!$B$4:$AJ$55,16,0)</f>
        <v>0</v>
      </c>
      <c r="C2989" s="421">
        <v>14</v>
      </c>
      <c r="D2989" s="41">
        <f>B2984/26/8*2*B2989</f>
        <v>0</v>
      </c>
    </row>
    <row r="2990" spans="1:5">
      <c r="A2990" s="421" t="s">
        <v>593</v>
      </c>
      <c r="B2990" s="412">
        <f>VLOOKUP(B2976,'BANG LUONG 1'!$B$4:$AJ$55,17,0)</f>
        <v>0</v>
      </c>
      <c r="C2990" s="421"/>
      <c r="D2990" s="41">
        <f>(B2984/26)*B2990</f>
        <v>0</v>
      </c>
    </row>
    <row r="2991" spans="1:5">
      <c r="A2991" s="421" t="s">
        <v>388</v>
      </c>
      <c r="B2991" s="412">
        <f>VLOOKUP(B2976,'BANG LUONG 1'!$B$4:$AJ$55,18,0)</f>
        <v>0</v>
      </c>
      <c r="C2991" s="421">
        <v>15</v>
      </c>
      <c r="D2991" s="41">
        <f>(B2984/26*B2991)*3</f>
        <v>0</v>
      </c>
    </row>
    <row r="2992" spans="1:5">
      <c r="A2992" s="421" t="s">
        <v>533</v>
      </c>
      <c r="B2992" s="412">
        <f>VLOOKUP(B2976,'BANG LUONG 1'!$B$4:$AJ$55,19,0)</f>
        <v>4375168.269230769</v>
      </c>
      <c r="C2992" s="183">
        <v>16</v>
      </c>
      <c r="D2992" s="185">
        <f>B2986+D2988+D2989+D2987+D2991+D2990</f>
        <v>4375168.269230769</v>
      </c>
      <c r="E2992" s="108"/>
    </row>
    <row r="2993" spans="1:5">
      <c r="A2993" s="421" t="s">
        <v>535</v>
      </c>
      <c r="B2993" s="412">
        <f>VLOOKUP(B2976,'BANG LUONG 1'!$B$4:$AJ$55,20,0)</f>
        <v>-4375168.269230769</v>
      </c>
      <c r="C2993" s="421">
        <v>17</v>
      </c>
      <c r="D2993" s="41"/>
    </row>
    <row r="2994" spans="1:5">
      <c r="A2994" s="421" t="s">
        <v>370</v>
      </c>
      <c r="B2994" s="412">
        <f>VLOOKUP(B2976,'BANG LUONG 1'!$B$4:$AJ$55,22,0)</f>
        <v>0</v>
      </c>
      <c r="C2994" s="421">
        <v>18</v>
      </c>
      <c r="D2994" s="41"/>
    </row>
    <row r="2995" spans="1:5">
      <c r="A2995" s="421" t="s">
        <v>371</v>
      </c>
      <c r="B2995" s="412">
        <f>VLOOKUP(B2976,'BANG LUONG 1'!$B$4:$AJ$55,23,0)</f>
        <v>300000</v>
      </c>
      <c r="C2995" s="421">
        <v>19</v>
      </c>
      <c r="D2995" s="41"/>
    </row>
    <row r="2996" spans="1:5">
      <c r="A2996" s="421" t="s">
        <v>560</v>
      </c>
      <c r="B2996" s="412">
        <f>VLOOKUP(B2976,'BANG LUONG 1'!$B$4:$AJ$55,24,0)</f>
        <v>0</v>
      </c>
      <c r="C2996" s="421">
        <v>22</v>
      </c>
      <c r="D2996" s="41"/>
    </row>
    <row r="2997" spans="1:5">
      <c r="A2997" s="183" t="s">
        <v>237</v>
      </c>
      <c r="B2997" s="415">
        <f>VLOOKUP(B2976,'BANG LUONG 1'!$B$4:$AJ$55,26,0)</f>
        <v>300000</v>
      </c>
      <c r="C2997" s="421">
        <v>24</v>
      </c>
      <c r="D2997" s="41"/>
    </row>
    <row r="2998" spans="1:5">
      <c r="A2998" s="421" t="s">
        <v>545</v>
      </c>
      <c r="B2998" s="412">
        <f>VLOOKUP(B2976,'BANG LUONG 1'!$B$4:$AJ$55,27,0)</f>
        <v>0</v>
      </c>
      <c r="C2998" s="421">
        <v>25</v>
      </c>
      <c r="D2998" s="41"/>
    </row>
    <row r="2999" spans="1:5">
      <c r="A2999" s="421" t="s">
        <v>544</v>
      </c>
      <c r="B2999" s="412">
        <f>VLOOKUP(B2976,'BANG LUONG 1'!$B$4:$AJ$55,28,0)</f>
        <v>0</v>
      </c>
      <c r="C2999" s="421">
        <v>26</v>
      </c>
      <c r="D2999" s="41"/>
    </row>
    <row r="3000" spans="1:5">
      <c r="A3000" s="421" t="s">
        <v>713</v>
      </c>
      <c r="B3000" s="415">
        <f>VLOOKUP(B2976,'BANG LUONG 1'!$B$4:$AJ$55,32,0)</f>
        <v>0</v>
      </c>
      <c r="C3000" s="421"/>
      <c r="D3000" s="41"/>
    </row>
    <row r="3001" spans="1:5">
      <c r="A3001" s="421" t="s">
        <v>714</v>
      </c>
      <c r="B3001" s="415">
        <f>VLOOKUP(B2976,'BANG LUONG 1'!$B$4:$AJ$55,33,0)</f>
        <v>0</v>
      </c>
      <c r="C3001" s="421"/>
      <c r="D3001" s="41"/>
    </row>
    <row r="3002" spans="1:5">
      <c r="A3002" s="183" t="s">
        <v>707</v>
      </c>
      <c r="B3002" s="415">
        <f>VLOOKUP(B2976,'BANG LUONG 1'!$B$4:$AJ$55,34,0)</f>
        <v>0</v>
      </c>
      <c r="C3002" s="421"/>
      <c r="D3002" s="41"/>
      <c r="E3002" s="108" t="str">
        <f>B2977</f>
        <v>Nguyễn Văn Chương</v>
      </c>
    </row>
    <row r="3003" spans="1:5">
      <c r="A3003" s="183" t="s">
        <v>546</v>
      </c>
      <c r="B3003" s="415">
        <f>VLOOKUP(B2976,'BANG LUONG 1'!$B$4:$AJ$55,35,0)</f>
        <v>300000</v>
      </c>
      <c r="C3003" s="421"/>
      <c r="D3003" s="41"/>
    </row>
    <row r="3005" spans="1:5">
      <c r="A3005" s="184" t="s">
        <v>549</v>
      </c>
      <c r="B3005" s="424">
        <f>'BANG LUONG 1'!$P$2</f>
        <v>43702</v>
      </c>
    </row>
    <row r="3006" spans="1:5">
      <c r="A3006" s="183" t="s">
        <v>1</v>
      </c>
      <c r="B3006" s="185" t="s">
        <v>169</v>
      </c>
      <c r="C3006" s="421">
        <v>1</v>
      </c>
      <c r="D3006" s="41"/>
    </row>
    <row r="3007" spans="1:5">
      <c r="A3007" s="183" t="s">
        <v>2</v>
      </c>
      <c r="B3007" s="185" t="e">
        <f>VLOOKUP($B3006,'BANG LUONG 1'!$B$5:$AB$50,C3007,0)</f>
        <v>#N/A</v>
      </c>
      <c r="C3007" s="421">
        <v>2</v>
      </c>
      <c r="D3007" s="41"/>
    </row>
    <row r="3008" spans="1:5">
      <c r="A3008" s="421" t="s">
        <v>3</v>
      </c>
      <c r="B3008" s="41" t="e">
        <f>VLOOKUP($B3006,'BANG LUONG 1'!$B$5:$AJ$47,C3008,0)</f>
        <v>#N/A</v>
      </c>
      <c r="C3008" s="421">
        <v>3</v>
      </c>
      <c r="D3008" s="41"/>
    </row>
    <row r="3009" spans="1:4">
      <c r="A3009" s="421" t="s">
        <v>376</v>
      </c>
      <c r="B3009" s="410" t="e">
        <f>VLOOKUP($B3006,'BANG LUONG 1'!$B$4:$AJ$55,4,0)</f>
        <v>#N/A</v>
      </c>
      <c r="C3009" s="421">
        <v>4</v>
      </c>
      <c r="D3009" s="41"/>
    </row>
    <row r="3010" spans="1:4">
      <c r="A3010" s="421" t="s">
        <v>698</v>
      </c>
      <c r="B3010" s="411" t="e">
        <f>VLOOKUP(B3006,'BANG LUONG 1'!$B$4:$AJ$55,6,0)</f>
        <v>#N/A</v>
      </c>
      <c r="C3010" s="421">
        <v>5</v>
      </c>
      <c r="D3010" s="41"/>
    </row>
    <row r="3011" spans="1:4">
      <c r="A3011" s="421" t="s">
        <v>229</v>
      </c>
      <c r="B3011" s="412">
        <f>'thang luong moi'!$F$5</f>
        <v>4012500</v>
      </c>
      <c r="C3011" s="421">
        <v>6</v>
      </c>
      <c r="D3011" s="41"/>
    </row>
    <row r="3012" spans="1:4">
      <c r="A3012" s="421" t="s">
        <v>217</v>
      </c>
      <c r="B3012" s="412" t="e">
        <f>VLOOKUP(B3006,'BANG LUONG 1'!$B$4:$AJ$55,8,0)</f>
        <v>#N/A</v>
      </c>
      <c r="C3012" s="421">
        <v>7</v>
      </c>
      <c r="D3012" s="41"/>
    </row>
    <row r="3013" spans="1:4">
      <c r="A3013" s="421" t="s">
        <v>230</v>
      </c>
      <c r="B3013" s="412" t="e">
        <f>VLOOKUP(B3006,'BANG LUONG 1'!$B$4:$AJ$55,9,0)</f>
        <v>#N/A</v>
      </c>
      <c r="C3013" s="421">
        <v>8</v>
      </c>
      <c r="D3013" s="41"/>
    </row>
    <row r="3014" spans="1:4">
      <c r="A3014" s="421" t="s">
        <v>538</v>
      </c>
      <c r="B3014" s="412" t="e">
        <f>VLOOKUP(B3006,'BANG LUONG 1'!$B$4:$AJ$55,11,0)</f>
        <v>#N/A</v>
      </c>
      <c r="C3014" s="421">
        <v>9</v>
      </c>
      <c r="D3014" s="41"/>
    </row>
    <row r="3015" spans="1:4">
      <c r="A3015" s="421" t="s">
        <v>354</v>
      </c>
      <c r="B3015" s="412" t="e">
        <f>VLOOKUP(B3006,'BANG LUONG 1'!$B$4:$AJ$55,12,0)</f>
        <v>#N/A</v>
      </c>
      <c r="C3015" s="421">
        <v>10</v>
      </c>
      <c r="D3015" s="41"/>
    </row>
    <row r="3016" spans="1:4">
      <c r="A3016" s="421" t="s">
        <v>534</v>
      </c>
      <c r="B3016" s="412" t="e">
        <f>VLOOKUP(B3006,'BANG LUONG 1'!$B$4:$AJ$55,13,0)</f>
        <v>#N/A</v>
      </c>
      <c r="C3016" s="421">
        <v>11</v>
      </c>
      <c r="D3016" s="41"/>
    </row>
    <row r="3017" spans="1:4">
      <c r="A3017" s="421" t="s">
        <v>592</v>
      </c>
      <c r="B3017" s="412" t="e">
        <f>VLOOKUP(B3006,'BANG LUONG 1'!$B$4:$AJ$55,14,0)</f>
        <v>#N/A</v>
      </c>
      <c r="C3017" s="421">
        <v>12</v>
      </c>
      <c r="D3017" s="41" t="e">
        <f>B3014/26*B3017</f>
        <v>#N/A</v>
      </c>
    </row>
    <row r="3018" spans="1:4">
      <c r="A3018" s="421" t="s">
        <v>357</v>
      </c>
      <c r="B3018" s="412" t="e">
        <f>VLOOKUP(B3006,'BANG LUONG 1'!$B$4:$AJ$55,15,0)</f>
        <v>#N/A</v>
      </c>
      <c r="C3018" s="421">
        <v>13</v>
      </c>
      <c r="D3018" s="41" t="e">
        <f>B3014/26/8*1.5*B3018</f>
        <v>#N/A</v>
      </c>
    </row>
    <row r="3019" spans="1:4">
      <c r="A3019" s="421" t="s">
        <v>387</v>
      </c>
      <c r="B3019" s="412" t="e">
        <f>VLOOKUP(B3006,'BANG LUONG 1'!$B$4:$AJ$55,16,0)</f>
        <v>#N/A</v>
      </c>
      <c r="C3019" s="421">
        <v>14</v>
      </c>
      <c r="D3019" s="41" t="e">
        <f>B3014/26/8*2*B3019</f>
        <v>#N/A</v>
      </c>
    </row>
    <row r="3020" spans="1:4">
      <c r="A3020" s="421" t="s">
        <v>593</v>
      </c>
      <c r="B3020" s="412" t="e">
        <f>VLOOKUP(B3006,'BANG LUONG 1'!$B$4:$AJ$55,17,0)</f>
        <v>#N/A</v>
      </c>
      <c r="C3020" s="421"/>
      <c r="D3020" s="41" t="e">
        <f>(B3014/26)*B3020</f>
        <v>#N/A</v>
      </c>
    </row>
    <row r="3021" spans="1:4">
      <c r="A3021" s="421" t="s">
        <v>388</v>
      </c>
      <c r="B3021" s="412" t="e">
        <f>VLOOKUP(B3006,'BANG LUONG 1'!$B$4:$AJ$55,18,0)</f>
        <v>#N/A</v>
      </c>
      <c r="C3021" s="421">
        <v>15</v>
      </c>
      <c r="D3021" s="41" t="e">
        <f>(B3014/26*B3021)*3</f>
        <v>#N/A</v>
      </c>
    </row>
    <row r="3022" spans="1:4">
      <c r="A3022" s="421" t="s">
        <v>533</v>
      </c>
      <c r="B3022" s="412" t="e">
        <f>VLOOKUP(B3006,'BANG LUONG 1'!$B$4:$AJ$55,19,0)</f>
        <v>#N/A</v>
      </c>
      <c r="C3022" s="183">
        <v>16</v>
      </c>
      <c r="D3022" s="185" t="e">
        <f>B3016+D3018+D3019+D3017+D3021+D3020</f>
        <v>#N/A</v>
      </c>
    </row>
    <row r="3023" spans="1:4">
      <c r="A3023" s="421" t="s">
        <v>535</v>
      </c>
      <c r="B3023" s="412" t="e">
        <f>VLOOKUP(B3006,'BANG LUONG 1'!$B$4:$AJ$55,20,0)</f>
        <v>#N/A</v>
      </c>
      <c r="C3023" s="421">
        <v>17</v>
      </c>
      <c r="D3023" s="41"/>
    </row>
    <row r="3024" spans="1:4">
      <c r="A3024" s="421" t="s">
        <v>370</v>
      </c>
      <c r="B3024" s="412" t="e">
        <f>VLOOKUP(B3006,'BANG LUONG 1'!$B$4:$AJ$55,22,0)</f>
        <v>#N/A</v>
      </c>
      <c r="C3024" s="421">
        <v>18</v>
      </c>
      <c r="D3024" s="41"/>
    </row>
    <row r="3025" spans="1:4">
      <c r="A3025" s="421" t="s">
        <v>371</v>
      </c>
      <c r="B3025" s="412" t="e">
        <f>VLOOKUP(B3006,'BANG LUONG 1'!$B$4:$AJ$55,23,0)</f>
        <v>#N/A</v>
      </c>
      <c r="C3025" s="421">
        <v>19</v>
      </c>
      <c r="D3025" s="41"/>
    </row>
    <row r="3026" spans="1:4">
      <c r="A3026" s="421" t="s">
        <v>560</v>
      </c>
      <c r="B3026" s="412" t="e">
        <f>VLOOKUP(B3006,'BANG LUONG 1'!$B$4:$AJ$55,24,0)</f>
        <v>#N/A</v>
      </c>
      <c r="C3026" s="421">
        <v>22</v>
      </c>
      <c r="D3026" s="41"/>
    </row>
    <row r="3027" spans="1:4">
      <c r="A3027" s="183" t="s">
        <v>237</v>
      </c>
      <c r="B3027" s="415" t="e">
        <f>VLOOKUP(B3006,'BANG LUONG 1'!$B$4:$AJ$55,26,0)</f>
        <v>#N/A</v>
      </c>
      <c r="C3027" s="421">
        <v>24</v>
      </c>
      <c r="D3027" s="41"/>
    </row>
    <row r="3028" spans="1:4">
      <c r="A3028" s="421" t="s">
        <v>545</v>
      </c>
      <c r="B3028" s="412" t="e">
        <f>VLOOKUP(B3006,'BANG LUONG 1'!$B$4:$AJ$55,27,0)</f>
        <v>#N/A</v>
      </c>
      <c r="C3028" s="421">
        <v>25</v>
      </c>
      <c r="D3028" s="41"/>
    </row>
    <row r="3029" spans="1:4">
      <c r="A3029" s="421" t="s">
        <v>544</v>
      </c>
      <c r="B3029" s="412" t="e">
        <f>VLOOKUP(B3006,'BANG LUONG 1'!$B$4:$AJ$55,28,0)</f>
        <v>#N/A</v>
      </c>
      <c r="C3029" s="421">
        <v>26</v>
      </c>
      <c r="D3029" s="41"/>
    </row>
    <row r="3030" spans="1:4">
      <c r="A3030" s="421" t="s">
        <v>713</v>
      </c>
      <c r="B3030" s="415" t="e">
        <f>VLOOKUP(B3006,'BANG LUONG 1'!$B$4:$AJ$55,32,0)</f>
        <v>#N/A</v>
      </c>
      <c r="C3030" s="421"/>
      <c r="D3030" s="41"/>
    </row>
    <row r="3031" spans="1:4">
      <c r="A3031" s="421" t="s">
        <v>714</v>
      </c>
      <c r="B3031" s="415" t="e">
        <f>VLOOKUP(B3006,'BANG LUONG 1'!$B$4:$AJ$55,33,0)</f>
        <v>#N/A</v>
      </c>
      <c r="C3031" s="421"/>
      <c r="D3031" s="41"/>
    </row>
    <row r="3032" spans="1:4">
      <c r="A3032" s="183" t="s">
        <v>707</v>
      </c>
      <c r="B3032" s="415" t="e">
        <f>VLOOKUP(B3006,'BANG LUONG 1'!$B$4:$AJ$55,34,0)</f>
        <v>#N/A</v>
      </c>
      <c r="C3032" s="421"/>
      <c r="D3032" s="41"/>
    </row>
    <row r="3033" spans="1:4">
      <c r="A3033" s="183" t="s">
        <v>546</v>
      </c>
      <c r="B3033" s="415" t="e">
        <f>VLOOKUP(B3006,'BANG LUONG 1'!$B$4:$AJ$55,35,0)</f>
        <v>#N/A</v>
      </c>
      <c r="C3033" s="421"/>
      <c r="D3033" s="41"/>
    </row>
    <row r="3035" spans="1:4">
      <c r="A3035" s="184" t="s">
        <v>549</v>
      </c>
      <c r="B3035" s="424">
        <f>'BANG LUONG 1'!$P$2</f>
        <v>43702</v>
      </c>
    </row>
    <row r="3036" spans="1:4">
      <c r="A3036" s="183" t="s">
        <v>1</v>
      </c>
      <c r="B3036" s="185" t="s">
        <v>169</v>
      </c>
      <c r="C3036" s="421">
        <v>1</v>
      </c>
      <c r="D3036" s="41"/>
    </row>
    <row r="3037" spans="1:4">
      <c r="A3037" s="183" t="s">
        <v>2</v>
      </c>
      <c r="B3037" s="185" t="e">
        <f>VLOOKUP($B3036,'BANG LUONG 1'!$B$5:$AB$50,C3037,0)</f>
        <v>#N/A</v>
      </c>
      <c r="C3037" s="421">
        <v>2</v>
      </c>
      <c r="D3037" s="41"/>
    </row>
    <row r="3038" spans="1:4">
      <c r="A3038" s="421" t="s">
        <v>3</v>
      </c>
      <c r="B3038" s="41" t="e">
        <f>VLOOKUP($B3036,'BANG LUONG 1'!$B$5:$AJ$47,C3038,0)</f>
        <v>#N/A</v>
      </c>
      <c r="C3038" s="421">
        <v>3</v>
      </c>
      <c r="D3038" s="41"/>
    </row>
    <row r="3039" spans="1:4">
      <c r="A3039" s="421" t="s">
        <v>376</v>
      </c>
      <c r="B3039" s="410" t="e">
        <f>VLOOKUP($B3036,'BANG LUONG 1'!$B$4:$AJ$55,4,0)</f>
        <v>#N/A</v>
      </c>
      <c r="C3039" s="421">
        <v>4</v>
      </c>
      <c r="D3039" s="41"/>
    </row>
    <row r="3040" spans="1:4">
      <c r="A3040" s="421" t="s">
        <v>698</v>
      </c>
      <c r="B3040" s="411" t="e">
        <f>VLOOKUP(B3036,'BANG LUONG 1'!$B$4:$AJ$55,6,0)</f>
        <v>#N/A</v>
      </c>
      <c r="C3040" s="421">
        <v>5</v>
      </c>
      <c r="D3040" s="41"/>
    </row>
    <row r="3041" spans="1:4">
      <c r="A3041" s="421" t="s">
        <v>229</v>
      </c>
      <c r="B3041" s="412">
        <f>'thang luong moi'!$F$5</f>
        <v>4012500</v>
      </c>
      <c r="C3041" s="421">
        <v>6</v>
      </c>
      <c r="D3041" s="41"/>
    </row>
    <row r="3042" spans="1:4">
      <c r="A3042" s="421" t="s">
        <v>217</v>
      </c>
      <c r="B3042" s="412" t="e">
        <f>VLOOKUP(B3036,'BANG LUONG 1'!$B$4:$AJ$55,8,0)</f>
        <v>#N/A</v>
      </c>
      <c r="C3042" s="421">
        <v>7</v>
      </c>
      <c r="D3042" s="41"/>
    </row>
    <row r="3043" spans="1:4">
      <c r="A3043" s="421" t="s">
        <v>230</v>
      </c>
      <c r="B3043" s="412" t="e">
        <f>VLOOKUP(B3036,'BANG LUONG 1'!$B$4:$AJ$55,9,0)</f>
        <v>#N/A</v>
      </c>
      <c r="C3043" s="421">
        <v>8</v>
      </c>
      <c r="D3043" s="41"/>
    </row>
    <row r="3044" spans="1:4">
      <c r="A3044" s="421" t="s">
        <v>538</v>
      </c>
      <c r="B3044" s="412" t="e">
        <f>VLOOKUP(B3036,'BANG LUONG 1'!$B$4:$AJ$55,11,0)</f>
        <v>#N/A</v>
      </c>
      <c r="C3044" s="421">
        <v>9</v>
      </c>
      <c r="D3044" s="41"/>
    </row>
    <row r="3045" spans="1:4">
      <c r="A3045" s="421" t="s">
        <v>354</v>
      </c>
      <c r="B3045" s="412" t="e">
        <f>VLOOKUP(B3036,'BANG LUONG 1'!$B$4:$AJ$55,12,0)</f>
        <v>#N/A</v>
      </c>
      <c r="C3045" s="421">
        <v>10</v>
      </c>
      <c r="D3045" s="41"/>
    </row>
    <row r="3046" spans="1:4">
      <c r="A3046" s="421" t="s">
        <v>534</v>
      </c>
      <c r="B3046" s="412" t="e">
        <f>VLOOKUP(B3036,'BANG LUONG 1'!$B$4:$AJ$55,13,0)</f>
        <v>#N/A</v>
      </c>
      <c r="C3046" s="421">
        <v>11</v>
      </c>
      <c r="D3046" s="41"/>
    </row>
    <row r="3047" spans="1:4">
      <c r="A3047" s="421" t="s">
        <v>592</v>
      </c>
      <c r="B3047" s="412" t="e">
        <f>VLOOKUP(B3036,'BANG LUONG 1'!$B$4:$AJ$55,14,0)</f>
        <v>#N/A</v>
      </c>
      <c r="C3047" s="421">
        <v>12</v>
      </c>
      <c r="D3047" s="41" t="e">
        <f>B3044/26*B3047</f>
        <v>#N/A</v>
      </c>
    </row>
    <row r="3048" spans="1:4">
      <c r="A3048" s="421" t="s">
        <v>357</v>
      </c>
      <c r="B3048" s="412" t="e">
        <f>VLOOKUP(B3036,'BANG LUONG 1'!$B$4:$AJ$55,15,0)</f>
        <v>#N/A</v>
      </c>
      <c r="C3048" s="421">
        <v>13</v>
      </c>
      <c r="D3048" s="41" t="e">
        <f>B3044/26/8*1.5*B3048</f>
        <v>#N/A</v>
      </c>
    </row>
    <row r="3049" spans="1:4">
      <c r="A3049" s="421" t="s">
        <v>387</v>
      </c>
      <c r="B3049" s="412" t="e">
        <f>VLOOKUP(B3036,'BANG LUONG 1'!$B$4:$AJ$55,16,0)</f>
        <v>#N/A</v>
      </c>
      <c r="C3049" s="421">
        <v>14</v>
      </c>
      <c r="D3049" s="41" t="e">
        <f>B3044/26/8*2*B3049</f>
        <v>#N/A</v>
      </c>
    </row>
    <row r="3050" spans="1:4">
      <c r="A3050" s="421" t="s">
        <v>593</v>
      </c>
      <c r="B3050" s="412" t="e">
        <f>VLOOKUP(B3036,'BANG LUONG 1'!$B$4:$AJ$55,17,0)</f>
        <v>#N/A</v>
      </c>
      <c r="C3050" s="421"/>
      <c r="D3050" s="41" t="e">
        <f>(B3044/26)*B3050</f>
        <v>#N/A</v>
      </c>
    </row>
    <row r="3051" spans="1:4">
      <c r="A3051" s="421" t="s">
        <v>388</v>
      </c>
      <c r="B3051" s="412" t="e">
        <f>VLOOKUP(B3036,'BANG LUONG 1'!$B$4:$AJ$55,18,0)</f>
        <v>#N/A</v>
      </c>
      <c r="C3051" s="421">
        <v>15</v>
      </c>
      <c r="D3051" s="41" t="e">
        <f>(B3044/26*B3051)*3</f>
        <v>#N/A</v>
      </c>
    </row>
    <row r="3052" spans="1:4">
      <c r="A3052" s="421" t="s">
        <v>533</v>
      </c>
      <c r="B3052" s="412" t="e">
        <f>VLOOKUP(B3036,'BANG LUONG 1'!$B$4:$AJ$55,19,0)</f>
        <v>#N/A</v>
      </c>
      <c r="C3052" s="183">
        <v>16</v>
      </c>
      <c r="D3052" s="185" t="e">
        <f>B3046+D3048+D3049+D3047+D3051+D3050</f>
        <v>#N/A</v>
      </c>
    </row>
    <row r="3053" spans="1:4">
      <c r="A3053" s="421" t="s">
        <v>535</v>
      </c>
      <c r="B3053" s="412" t="e">
        <f>VLOOKUP(B3036,'BANG LUONG 1'!$B$4:$AJ$55,20,0)</f>
        <v>#N/A</v>
      </c>
      <c r="C3053" s="421">
        <v>17</v>
      </c>
      <c r="D3053" s="41"/>
    </row>
    <row r="3054" spans="1:4">
      <c r="A3054" s="421" t="s">
        <v>370</v>
      </c>
      <c r="B3054" s="412" t="e">
        <f>VLOOKUP(B3036,'BANG LUONG 1'!$B$4:$AJ$55,22,0)</f>
        <v>#N/A</v>
      </c>
      <c r="C3054" s="421">
        <v>18</v>
      </c>
      <c r="D3054" s="41"/>
    </row>
    <row r="3055" spans="1:4">
      <c r="A3055" s="421" t="s">
        <v>371</v>
      </c>
      <c r="B3055" s="412" t="e">
        <f>VLOOKUP(B3036,'BANG LUONG 1'!$B$4:$AJ$55,23,0)</f>
        <v>#N/A</v>
      </c>
      <c r="C3055" s="421">
        <v>19</v>
      </c>
      <c r="D3055" s="41"/>
    </row>
    <row r="3056" spans="1:4">
      <c r="A3056" s="421" t="s">
        <v>560</v>
      </c>
      <c r="B3056" s="412" t="e">
        <f>VLOOKUP(B3036,'BANG LUONG 1'!$B$4:$AJ$55,24,0)</f>
        <v>#N/A</v>
      </c>
      <c r="C3056" s="421">
        <v>22</v>
      </c>
      <c r="D3056" s="41"/>
    </row>
    <row r="3057" spans="1:4">
      <c r="A3057" s="183" t="s">
        <v>237</v>
      </c>
      <c r="B3057" s="415" t="e">
        <f>VLOOKUP(B3036,'BANG LUONG 1'!$B$4:$AJ$55,26,0)</f>
        <v>#N/A</v>
      </c>
      <c r="C3057" s="421">
        <v>24</v>
      </c>
      <c r="D3057" s="41"/>
    </row>
    <row r="3058" spans="1:4">
      <c r="A3058" s="421" t="s">
        <v>545</v>
      </c>
      <c r="B3058" s="412" t="e">
        <f>VLOOKUP(B3036,'BANG LUONG 1'!$B$4:$AJ$55,27,0)</f>
        <v>#N/A</v>
      </c>
      <c r="C3058" s="421">
        <v>25</v>
      </c>
      <c r="D3058" s="41"/>
    </row>
    <row r="3059" spans="1:4">
      <c r="A3059" s="421" t="s">
        <v>544</v>
      </c>
      <c r="B3059" s="412" t="e">
        <f>VLOOKUP(B3036,'BANG LUONG 1'!$B$4:$AJ$55,28,0)</f>
        <v>#N/A</v>
      </c>
      <c r="C3059" s="421">
        <v>26</v>
      </c>
      <c r="D3059" s="41"/>
    </row>
    <row r="3060" spans="1:4">
      <c r="A3060" s="421" t="s">
        <v>713</v>
      </c>
      <c r="B3060" s="415" t="e">
        <f>VLOOKUP(B3036,'BANG LUONG 1'!$B$4:$AJ$55,32,0)</f>
        <v>#N/A</v>
      </c>
      <c r="C3060" s="421"/>
      <c r="D3060" s="41"/>
    </row>
    <row r="3061" spans="1:4">
      <c r="A3061" s="421" t="s">
        <v>714</v>
      </c>
      <c r="B3061" s="415" t="e">
        <f>VLOOKUP(B3036,'BANG LUONG 1'!$B$4:$AJ$55,33,0)</f>
        <v>#N/A</v>
      </c>
      <c r="C3061" s="421"/>
      <c r="D3061" s="41"/>
    </row>
    <row r="3062" spans="1:4">
      <c r="A3062" s="183" t="s">
        <v>707</v>
      </c>
      <c r="B3062" s="415" t="e">
        <f>VLOOKUP(B3036,'BANG LUONG 1'!$B$4:$AJ$55,34,0)</f>
        <v>#N/A</v>
      </c>
      <c r="C3062" s="421"/>
      <c r="D3062" s="41"/>
    </row>
    <row r="3063" spans="1:4">
      <c r="A3063" s="183" t="s">
        <v>546</v>
      </c>
      <c r="B3063" s="415" t="e">
        <f>VLOOKUP(B3036,'BANG LUONG 1'!$B$4:$AJ$55,35,0)</f>
        <v>#N/A</v>
      </c>
      <c r="C3063" s="421"/>
      <c r="D3063" s="41"/>
    </row>
    <row r="3065" spans="1:4">
      <c r="A3065" s="184" t="s">
        <v>549</v>
      </c>
      <c r="B3065" s="424">
        <f>'BANG LUONG 1'!$P$2</f>
        <v>43702</v>
      </c>
    </row>
    <row r="3066" spans="1:4">
      <c r="A3066" s="183" t="s">
        <v>1</v>
      </c>
      <c r="B3066" s="185" t="s">
        <v>170</v>
      </c>
      <c r="C3066" s="421">
        <v>1</v>
      </c>
      <c r="D3066" s="41"/>
    </row>
    <row r="3067" spans="1:4">
      <c r="A3067" s="183" t="s">
        <v>2</v>
      </c>
      <c r="B3067" s="185" t="e">
        <f>VLOOKUP($B3066,'BANG LUONG 1'!$B$5:$AB$50,C3067,0)</f>
        <v>#N/A</v>
      </c>
      <c r="C3067" s="421">
        <v>2</v>
      </c>
      <c r="D3067" s="41"/>
    </row>
    <row r="3068" spans="1:4">
      <c r="A3068" s="421" t="s">
        <v>3</v>
      </c>
      <c r="B3068" s="41" t="e">
        <f>VLOOKUP($B3066,'BANG LUONG 1'!$B$5:$AJ$47,C3068,0)</f>
        <v>#N/A</v>
      </c>
      <c r="C3068" s="421">
        <v>3</v>
      </c>
      <c r="D3068" s="41"/>
    </row>
    <row r="3069" spans="1:4">
      <c r="A3069" s="421" t="s">
        <v>376</v>
      </c>
      <c r="B3069" s="410" t="e">
        <f>VLOOKUP($B3066,'BANG LUONG 1'!$B$4:$AJ$55,4,0)</f>
        <v>#N/A</v>
      </c>
      <c r="C3069" s="421">
        <v>4</v>
      </c>
      <c r="D3069" s="41"/>
    </row>
    <row r="3070" spans="1:4">
      <c r="A3070" s="421" t="s">
        <v>698</v>
      </c>
      <c r="B3070" s="411" t="e">
        <f>VLOOKUP(B3066,'BANG LUONG 1'!$B$4:$AJ$55,6,0)</f>
        <v>#N/A</v>
      </c>
      <c r="C3070" s="421">
        <v>5</v>
      </c>
      <c r="D3070" s="41"/>
    </row>
    <row r="3071" spans="1:4">
      <c r="A3071" s="421" t="s">
        <v>229</v>
      </c>
      <c r="B3071" s="412">
        <f>'thang luong moi'!$F$5</f>
        <v>4012500</v>
      </c>
      <c r="C3071" s="421">
        <v>6</v>
      </c>
      <c r="D3071" s="41"/>
    </row>
    <row r="3072" spans="1:4">
      <c r="A3072" s="421" t="s">
        <v>217</v>
      </c>
      <c r="B3072" s="412" t="e">
        <f>VLOOKUP(B3066,'BANG LUONG 1'!$B$4:$AJ$55,8,0)</f>
        <v>#N/A</v>
      </c>
      <c r="C3072" s="421">
        <v>7</v>
      </c>
      <c r="D3072" s="41"/>
    </row>
    <row r="3073" spans="1:4">
      <c r="A3073" s="421" t="s">
        <v>230</v>
      </c>
      <c r="B3073" s="412" t="e">
        <f>VLOOKUP(B3066,'BANG LUONG 1'!$B$4:$AJ$55,9,0)</f>
        <v>#N/A</v>
      </c>
      <c r="C3073" s="421">
        <v>8</v>
      </c>
      <c r="D3073" s="41"/>
    </row>
    <row r="3074" spans="1:4">
      <c r="A3074" s="421" t="s">
        <v>538</v>
      </c>
      <c r="B3074" s="412" t="e">
        <f>VLOOKUP(B3066,'BANG LUONG 1'!$B$4:$AJ$55,11,0)</f>
        <v>#N/A</v>
      </c>
      <c r="C3074" s="421">
        <v>9</v>
      </c>
      <c r="D3074" s="41"/>
    </row>
    <row r="3075" spans="1:4">
      <c r="A3075" s="421" t="s">
        <v>354</v>
      </c>
      <c r="B3075" s="412" t="e">
        <f>VLOOKUP(B3066,'BANG LUONG 1'!$B$4:$AJ$55,12,0)</f>
        <v>#N/A</v>
      </c>
      <c r="C3075" s="421">
        <v>10</v>
      </c>
      <c r="D3075" s="41"/>
    </row>
    <row r="3076" spans="1:4">
      <c r="A3076" s="421" t="s">
        <v>534</v>
      </c>
      <c r="B3076" s="412" t="e">
        <f>VLOOKUP(B3066,'BANG LUONG 1'!$B$4:$AJ$55,13,0)</f>
        <v>#N/A</v>
      </c>
      <c r="C3076" s="421">
        <v>11</v>
      </c>
      <c r="D3076" s="41"/>
    </row>
    <row r="3077" spans="1:4">
      <c r="A3077" s="421" t="s">
        <v>592</v>
      </c>
      <c r="B3077" s="412" t="e">
        <f>VLOOKUP(B3066,'BANG LUONG 1'!$B$4:$AJ$55,14,0)</f>
        <v>#N/A</v>
      </c>
      <c r="C3077" s="421">
        <v>12</v>
      </c>
      <c r="D3077" s="41" t="e">
        <f>B3074/26*B3077</f>
        <v>#N/A</v>
      </c>
    </row>
    <row r="3078" spans="1:4">
      <c r="A3078" s="421" t="s">
        <v>357</v>
      </c>
      <c r="B3078" s="412" t="e">
        <f>VLOOKUP(B3066,'BANG LUONG 1'!$B$4:$AJ$55,15,0)</f>
        <v>#N/A</v>
      </c>
      <c r="C3078" s="421">
        <v>13</v>
      </c>
      <c r="D3078" s="41" t="e">
        <f>B3074/26/8*1.5*B3078</f>
        <v>#N/A</v>
      </c>
    </row>
    <row r="3079" spans="1:4">
      <c r="A3079" s="421" t="s">
        <v>387</v>
      </c>
      <c r="B3079" s="412" t="e">
        <f>VLOOKUP(B3066,'BANG LUONG 1'!$B$4:$AJ$55,16,0)</f>
        <v>#N/A</v>
      </c>
      <c r="C3079" s="421">
        <v>14</v>
      </c>
      <c r="D3079" s="41" t="e">
        <f>B3074/26/8*2*B3079</f>
        <v>#N/A</v>
      </c>
    </row>
    <row r="3080" spans="1:4">
      <c r="A3080" s="421" t="s">
        <v>593</v>
      </c>
      <c r="B3080" s="412" t="e">
        <f>VLOOKUP(B3066,'BANG LUONG 1'!$B$4:$AJ$55,17,0)</f>
        <v>#N/A</v>
      </c>
      <c r="C3080" s="421"/>
      <c r="D3080" s="41" t="e">
        <f>(B3074/26)*B3080</f>
        <v>#N/A</v>
      </c>
    </row>
    <row r="3081" spans="1:4">
      <c r="A3081" s="421" t="s">
        <v>388</v>
      </c>
      <c r="B3081" s="412" t="e">
        <f>VLOOKUP(B3066,'BANG LUONG 1'!$B$4:$AJ$55,18,0)</f>
        <v>#N/A</v>
      </c>
      <c r="C3081" s="421">
        <v>15</v>
      </c>
      <c r="D3081" s="41" t="e">
        <f>(B3074/26*B3081)*3</f>
        <v>#N/A</v>
      </c>
    </row>
    <row r="3082" spans="1:4">
      <c r="A3082" s="421" t="s">
        <v>533</v>
      </c>
      <c r="B3082" s="412" t="e">
        <f>VLOOKUP(B3066,'BANG LUONG 1'!$B$4:$AJ$55,19,0)</f>
        <v>#N/A</v>
      </c>
      <c r="C3082" s="183">
        <v>16</v>
      </c>
      <c r="D3082" s="185" t="e">
        <f>B3076+D3078+D3079+D3077+D3081+D3080</f>
        <v>#N/A</v>
      </c>
    </row>
    <row r="3083" spans="1:4">
      <c r="A3083" s="421" t="s">
        <v>535</v>
      </c>
      <c r="B3083" s="412" t="e">
        <f>VLOOKUP(B3066,'BANG LUONG 1'!$B$4:$AJ$55,20,0)</f>
        <v>#N/A</v>
      </c>
      <c r="C3083" s="421">
        <v>17</v>
      </c>
      <c r="D3083" s="41"/>
    </row>
    <row r="3084" spans="1:4">
      <c r="A3084" s="421" t="s">
        <v>370</v>
      </c>
      <c r="B3084" s="412" t="e">
        <f>VLOOKUP(B3066,'BANG LUONG 1'!$B$4:$AJ$55,22,0)</f>
        <v>#N/A</v>
      </c>
      <c r="C3084" s="421">
        <v>18</v>
      </c>
      <c r="D3084" s="41"/>
    </row>
    <row r="3085" spans="1:4">
      <c r="A3085" s="421" t="s">
        <v>371</v>
      </c>
      <c r="B3085" s="412" t="e">
        <f>VLOOKUP(B3066,'BANG LUONG 1'!$B$4:$AJ$55,23,0)</f>
        <v>#N/A</v>
      </c>
      <c r="C3085" s="421">
        <v>19</v>
      </c>
      <c r="D3085" s="41"/>
    </row>
    <row r="3086" spans="1:4">
      <c r="A3086" s="421" t="s">
        <v>560</v>
      </c>
      <c r="B3086" s="412" t="e">
        <f>VLOOKUP(B3066,'BANG LUONG 1'!$B$4:$AJ$55,24,0)</f>
        <v>#N/A</v>
      </c>
      <c r="C3086" s="421">
        <v>22</v>
      </c>
      <c r="D3086" s="41"/>
    </row>
    <row r="3087" spans="1:4">
      <c r="A3087" s="183" t="s">
        <v>237</v>
      </c>
      <c r="B3087" s="415" t="e">
        <f>VLOOKUP(B3066,'BANG LUONG 1'!$B$4:$AJ$55,26,0)</f>
        <v>#N/A</v>
      </c>
      <c r="C3087" s="421">
        <v>24</v>
      </c>
      <c r="D3087" s="41"/>
    </row>
    <row r="3088" spans="1:4">
      <c r="A3088" s="421" t="s">
        <v>545</v>
      </c>
      <c r="B3088" s="412" t="e">
        <f>VLOOKUP(B3066,'BANG LUONG 1'!$B$4:$AJ$55,27,0)</f>
        <v>#N/A</v>
      </c>
      <c r="C3088" s="421">
        <v>25</v>
      </c>
      <c r="D3088" s="41"/>
    </row>
    <row r="3089" spans="1:4">
      <c r="A3089" s="421" t="s">
        <v>544</v>
      </c>
      <c r="B3089" s="412" t="e">
        <f>VLOOKUP(B3066,'BANG LUONG 1'!$B$4:$AJ$55,28,0)</f>
        <v>#N/A</v>
      </c>
      <c r="C3089" s="421">
        <v>26</v>
      </c>
      <c r="D3089" s="41"/>
    </row>
    <row r="3090" spans="1:4">
      <c r="A3090" s="421" t="s">
        <v>713</v>
      </c>
      <c r="B3090" s="415" t="e">
        <f>VLOOKUP(B3066,'BANG LUONG 1'!$B$4:$AJ$55,32,0)</f>
        <v>#N/A</v>
      </c>
      <c r="C3090" s="421"/>
      <c r="D3090" s="41"/>
    </row>
    <row r="3091" spans="1:4">
      <c r="A3091" s="421" t="s">
        <v>714</v>
      </c>
      <c r="B3091" s="415" t="e">
        <f>VLOOKUP(B3066,'BANG LUONG 1'!$B$4:$AJ$55,33,0)</f>
        <v>#N/A</v>
      </c>
      <c r="C3091" s="421"/>
      <c r="D3091" s="41"/>
    </row>
    <row r="3092" spans="1:4">
      <c r="A3092" s="183" t="s">
        <v>707</v>
      </c>
      <c r="B3092" s="415" t="e">
        <f>VLOOKUP(B3066,'BANG LUONG 1'!$B$4:$AJ$55,34,0)</f>
        <v>#N/A</v>
      </c>
      <c r="C3092" s="421"/>
      <c r="D3092" s="41"/>
    </row>
    <row r="3093" spans="1:4">
      <c r="A3093" s="183" t="s">
        <v>546</v>
      </c>
      <c r="B3093" s="415" t="e">
        <f>VLOOKUP(B3066,'BANG LUONG 1'!$B$4:$AJ$55,35,0)</f>
        <v>#N/A</v>
      </c>
      <c r="C3093" s="421"/>
      <c r="D3093" s="41"/>
    </row>
    <row r="3095" spans="1:4">
      <c r="A3095" s="184" t="s">
        <v>549</v>
      </c>
      <c r="B3095" s="424">
        <f>'BANG LUONG 1'!$P$2</f>
        <v>43702</v>
      </c>
    </row>
    <row r="3096" spans="1:4">
      <c r="A3096" s="183" t="s">
        <v>1</v>
      </c>
      <c r="B3096" s="185" t="s">
        <v>170</v>
      </c>
      <c r="C3096" s="421">
        <v>1</v>
      </c>
      <c r="D3096" s="41"/>
    </row>
    <row r="3097" spans="1:4">
      <c r="A3097" s="183" t="s">
        <v>2</v>
      </c>
      <c r="B3097" s="185" t="e">
        <f>VLOOKUP($B3096,'BANG LUONG 1'!$B$5:$AB$50,C3097,0)</f>
        <v>#N/A</v>
      </c>
      <c r="C3097" s="421">
        <v>2</v>
      </c>
      <c r="D3097" s="41"/>
    </row>
    <row r="3098" spans="1:4">
      <c r="A3098" s="421" t="s">
        <v>3</v>
      </c>
      <c r="B3098" s="41" t="e">
        <f>VLOOKUP($B3096,'BANG LUONG 1'!$B$5:$AJ$47,C3098,0)</f>
        <v>#N/A</v>
      </c>
      <c r="C3098" s="421">
        <v>3</v>
      </c>
      <c r="D3098" s="41"/>
    </row>
    <row r="3099" spans="1:4">
      <c r="A3099" s="421" t="s">
        <v>376</v>
      </c>
      <c r="B3099" s="410" t="e">
        <f>VLOOKUP($B3096,'BANG LUONG 1'!$B$4:$AJ$55,4,0)</f>
        <v>#N/A</v>
      </c>
      <c r="C3099" s="421">
        <v>4</v>
      </c>
      <c r="D3099" s="41"/>
    </row>
    <row r="3100" spans="1:4">
      <c r="A3100" s="421" t="s">
        <v>698</v>
      </c>
      <c r="B3100" s="411" t="e">
        <f>VLOOKUP(B3096,'BANG LUONG 1'!$B$4:$AJ$55,6,0)</f>
        <v>#N/A</v>
      </c>
      <c r="C3100" s="421">
        <v>5</v>
      </c>
      <c r="D3100" s="41"/>
    </row>
    <row r="3101" spans="1:4">
      <c r="A3101" s="421" t="s">
        <v>229</v>
      </c>
      <c r="B3101" s="412">
        <f>'thang luong moi'!$F$5</f>
        <v>4012500</v>
      </c>
      <c r="C3101" s="421">
        <v>6</v>
      </c>
      <c r="D3101" s="41"/>
    </row>
    <row r="3102" spans="1:4">
      <c r="A3102" s="421" t="s">
        <v>217</v>
      </c>
      <c r="B3102" s="412" t="e">
        <f>VLOOKUP(B3096,'BANG LUONG 1'!$B$4:$AJ$55,8,0)</f>
        <v>#N/A</v>
      </c>
      <c r="C3102" s="421">
        <v>7</v>
      </c>
      <c r="D3102" s="41"/>
    </row>
    <row r="3103" spans="1:4">
      <c r="A3103" s="421" t="s">
        <v>230</v>
      </c>
      <c r="B3103" s="412" t="e">
        <f>VLOOKUP(B3096,'BANG LUONG 1'!$B$4:$AJ$55,9,0)</f>
        <v>#N/A</v>
      </c>
      <c r="C3103" s="421">
        <v>8</v>
      </c>
      <c r="D3103" s="41"/>
    </row>
    <row r="3104" spans="1:4">
      <c r="A3104" s="421" t="s">
        <v>538</v>
      </c>
      <c r="B3104" s="412" t="e">
        <f>VLOOKUP(B3096,'BANG LUONG 1'!$B$4:$AJ$55,11,0)</f>
        <v>#N/A</v>
      </c>
      <c r="C3104" s="421">
        <v>9</v>
      </c>
      <c r="D3104" s="41"/>
    </row>
    <row r="3105" spans="1:4">
      <c r="A3105" s="421" t="s">
        <v>354</v>
      </c>
      <c r="B3105" s="412" t="e">
        <f>VLOOKUP(B3096,'BANG LUONG 1'!$B$4:$AJ$55,12,0)</f>
        <v>#N/A</v>
      </c>
      <c r="C3105" s="421">
        <v>10</v>
      </c>
      <c r="D3105" s="41"/>
    </row>
    <row r="3106" spans="1:4">
      <c r="A3106" s="421" t="s">
        <v>534</v>
      </c>
      <c r="B3106" s="412" t="e">
        <f>VLOOKUP(B3096,'BANG LUONG 1'!$B$4:$AJ$55,13,0)</f>
        <v>#N/A</v>
      </c>
      <c r="C3106" s="421">
        <v>11</v>
      </c>
      <c r="D3106" s="41"/>
    </row>
    <row r="3107" spans="1:4">
      <c r="A3107" s="421" t="s">
        <v>592</v>
      </c>
      <c r="B3107" s="412" t="e">
        <f>VLOOKUP(B3096,'BANG LUONG 1'!$B$4:$AJ$55,14,0)</f>
        <v>#N/A</v>
      </c>
      <c r="C3107" s="421">
        <v>12</v>
      </c>
      <c r="D3107" s="41" t="e">
        <f>B3104/26*B3107</f>
        <v>#N/A</v>
      </c>
    </row>
    <row r="3108" spans="1:4">
      <c r="A3108" s="421" t="s">
        <v>357</v>
      </c>
      <c r="B3108" s="412" t="e">
        <f>VLOOKUP(B3096,'BANG LUONG 1'!$B$4:$AJ$55,15,0)</f>
        <v>#N/A</v>
      </c>
      <c r="C3108" s="421">
        <v>13</v>
      </c>
      <c r="D3108" s="41" t="e">
        <f>B3104/26/8*1.5*B3108</f>
        <v>#N/A</v>
      </c>
    </row>
    <row r="3109" spans="1:4">
      <c r="A3109" s="421" t="s">
        <v>387</v>
      </c>
      <c r="B3109" s="412" t="e">
        <f>VLOOKUP(B3096,'BANG LUONG 1'!$B$4:$AJ$55,16,0)</f>
        <v>#N/A</v>
      </c>
      <c r="C3109" s="421">
        <v>14</v>
      </c>
      <c r="D3109" s="41" t="e">
        <f>B3104/26/8*2*B3109</f>
        <v>#N/A</v>
      </c>
    </row>
    <row r="3110" spans="1:4">
      <c r="A3110" s="421" t="s">
        <v>593</v>
      </c>
      <c r="B3110" s="412" t="e">
        <f>VLOOKUP(B3096,'BANG LUONG 1'!$B$4:$AJ$55,17,0)</f>
        <v>#N/A</v>
      </c>
      <c r="C3110" s="421"/>
      <c r="D3110" s="41" t="e">
        <f>(B3104/26)*B3110</f>
        <v>#N/A</v>
      </c>
    </row>
    <row r="3111" spans="1:4">
      <c r="A3111" s="421" t="s">
        <v>388</v>
      </c>
      <c r="B3111" s="412" t="e">
        <f>VLOOKUP(B3096,'BANG LUONG 1'!$B$4:$AJ$55,18,0)</f>
        <v>#N/A</v>
      </c>
      <c r="C3111" s="421">
        <v>15</v>
      </c>
      <c r="D3111" s="41" t="e">
        <f>(B3104/26*B3111)*3</f>
        <v>#N/A</v>
      </c>
    </row>
    <row r="3112" spans="1:4">
      <c r="A3112" s="421" t="s">
        <v>533</v>
      </c>
      <c r="B3112" s="412" t="e">
        <f>VLOOKUP(B3096,'BANG LUONG 1'!$B$4:$AJ$55,19,0)</f>
        <v>#N/A</v>
      </c>
      <c r="C3112" s="183">
        <v>16</v>
      </c>
      <c r="D3112" s="185" t="e">
        <f>B3106+D3108+D3109+D3107+D3111+D3110</f>
        <v>#N/A</v>
      </c>
    </row>
    <row r="3113" spans="1:4">
      <c r="A3113" s="421" t="s">
        <v>535</v>
      </c>
      <c r="B3113" s="412" t="e">
        <f>VLOOKUP(B3096,'BANG LUONG 1'!$B$4:$AJ$55,20,0)</f>
        <v>#N/A</v>
      </c>
      <c r="C3113" s="421">
        <v>17</v>
      </c>
      <c r="D3113" s="41"/>
    </row>
    <row r="3114" spans="1:4">
      <c r="A3114" s="421" t="s">
        <v>370</v>
      </c>
      <c r="B3114" s="412" t="e">
        <f>VLOOKUP(B3096,'BANG LUONG 1'!$B$4:$AJ$55,22,0)</f>
        <v>#N/A</v>
      </c>
      <c r="C3114" s="421">
        <v>18</v>
      </c>
      <c r="D3114" s="41"/>
    </row>
    <row r="3115" spans="1:4">
      <c r="A3115" s="421" t="s">
        <v>371</v>
      </c>
      <c r="B3115" s="412" t="e">
        <f>VLOOKUP(B3096,'BANG LUONG 1'!$B$4:$AJ$55,23,0)</f>
        <v>#N/A</v>
      </c>
      <c r="C3115" s="421">
        <v>19</v>
      </c>
      <c r="D3115" s="41"/>
    </row>
    <row r="3116" spans="1:4">
      <c r="A3116" s="421" t="s">
        <v>560</v>
      </c>
      <c r="B3116" s="412" t="e">
        <f>VLOOKUP(B3096,'BANG LUONG 1'!$B$4:$AJ$55,24,0)</f>
        <v>#N/A</v>
      </c>
      <c r="C3116" s="421">
        <v>22</v>
      </c>
      <c r="D3116" s="41"/>
    </row>
    <row r="3117" spans="1:4">
      <c r="A3117" s="183" t="s">
        <v>237</v>
      </c>
      <c r="B3117" s="415" t="e">
        <f>VLOOKUP(B3096,'BANG LUONG 1'!$B$4:$AJ$55,26,0)</f>
        <v>#N/A</v>
      </c>
      <c r="C3117" s="421">
        <v>24</v>
      </c>
      <c r="D3117" s="41"/>
    </row>
    <row r="3118" spans="1:4">
      <c r="A3118" s="421" t="s">
        <v>545</v>
      </c>
      <c r="B3118" s="412" t="e">
        <f>VLOOKUP(B3096,'BANG LUONG 1'!$B$4:$AJ$55,27,0)</f>
        <v>#N/A</v>
      </c>
      <c r="C3118" s="421">
        <v>25</v>
      </c>
      <c r="D3118" s="41"/>
    </row>
    <row r="3119" spans="1:4">
      <c r="A3119" s="421" t="s">
        <v>544</v>
      </c>
      <c r="B3119" s="412" t="e">
        <f>VLOOKUP(B3096,'BANG LUONG 1'!$B$4:$AJ$55,28,0)</f>
        <v>#N/A</v>
      </c>
      <c r="C3119" s="421">
        <v>26</v>
      </c>
      <c r="D3119" s="41"/>
    </row>
    <row r="3120" spans="1:4">
      <c r="A3120" s="421" t="s">
        <v>713</v>
      </c>
      <c r="B3120" s="415" t="e">
        <f>VLOOKUP(B3096,'BANG LUONG 1'!$B$4:$AJ$55,32,0)</f>
        <v>#N/A</v>
      </c>
      <c r="C3120" s="421"/>
      <c r="D3120" s="41"/>
    </row>
    <row r="3121" spans="1:4">
      <c r="A3121" s="421" t="s">
        <v>714</v>
      </c>
      <c r="B3121" s="415" t="e">
        <f>VLOOKUP(B3096,'BANG LUONG 1'!$B$4:$AJ$55,33,0)</f>
        <v>#N/A</v>
      </c>
      <c r="C3121" s="421"/>
      <c r="D3121" s="41"/>
    </row>
    <row r="3122" spans="1:4">
      <c r="A3122" s="183" t="s">
        <v>707</v>
      </c>
      <c r="B3122" s="415" t="e">
        <f>VLOOKUP(B3096,'BANG LUONG 1'!$B$4:$AJ$55,34,0)</f>
        <v>#N/A</v>
      </c>
      <c r="C3122" s="421"/>
      <c r="D3122" s="41"/>
    </row>
    <row r="3123" spans="1:4">
      <c r="A3123" s="183" t="s">
        <v>546</v>
      </c>
      <c r="B3123" s="415" t="e">
        <f>VLOOKUP(B3096,'BANG LUONG 1'!$B$4:$AJ$55,35,0)</f>
        <v>#N/A</v>
      </c>
      <c r="C3123" s="421"/>
      <c r="D3123" s="41"/>
    </row>
  </sheetData>
  <mergeCells count="4">
    <mergeCell ref="E1472:G1472"/>
    <mergeCell ref="E2008:G2008"/>
    <mergeCell ref="E1502:G1502"/>
    <mergeCell ref="E2037:G2037"/>
  </mergeCells>
  <pageMargins left="0.98425196850393704" right="0" top="0.25" bottom="0" header="3.9370078740157501E-2" footer="3.9370078740157501E-2"/>
  <pageSetup paperSize="11" scale="90" orientation="portrait" r:id="rId1"/>
  <rowBreaks count="35" manualBreakCount="35">
    <brk id="351" max="16383" man="1"/>
    <brk id="409" max="16383" man="1"/>
    <brk id="583" max="16383" man="1"/>
    <brk id="815" max="16383" man="1"/>
    <brk id="989" max="16383" man="1"/>
    <brk id="1105" max="16383" man="1"/>
    <brk id="1162" max="16383" man="1"/>
    <brk id="1222" max="16383" man="1"/>
    <brk id="1281" max="16383" man="1"/>
    <brk id="1341" max="16383" man="1"/>
    <brk id="1400" max="16383" man="1"/>
    <brk id="1460" max="16383" man="1"/>
    <brk id="1520" max="16383" man="1"/>
    <brk id="1579" max="16383" man="1"/>
    <brk id="1639" max="16383" man="1"/>
    <brk id="1699" max="16383" man="1"/>
    <brk id="1759" max="16383" man="1"/>
    <brk id="1818" max="16383" man="1"/>
    <brk id="1937" max="16383" man="1"/>
    <brk id="1995" max="16383" man="1"/>
    <brk id="2053" max="16383" man="1"/>
    <brk id="2111" max="16383" man="1"/>
    <brk id="2227" max="16383" man="1"/>
    <brk id="2287" max="16383" man="1"/>
    <brk id="2346" max="16383" man="1"/>
    <brk id="2406" max="16383" man="1"/>
    <brk id="2465" max="16383" man="1"/>
    <brk id="2525" max="16383" man="1"/>
    <brk id="2585" max="16383" man="1"/>
    <brk id="2645" max="16383" man="1"/>
    <brk id="2705" max="16383" man="1"/>
    <brk id="2765" max="16383" man="1"/>
    <brk id="2825" max="16383" man="1"/>
    <brk id="2884" max="16383" man="1"/>
    <brk id="294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78"/>
  <sheetViews>
    <sheetView topLeftCell="A49" zoomScale="70" zoomScaleNormal="70" workbookViewId="0">
      <selection activeCell="M21" sqref="M21"/>
    </sheetView>
  </sheetViews>
  <sheetFormatPr defaultRowHeight="14.4"/>
  <cols>
    <col min="1" max="1" width="61.88671875" customWidth="1"/>
    <col min="2" max="5" width="11.5546875" customWidth="1"/>
    <col min="6" max="6" width="13.44140625" customWidth="1"/>
    <col min="7" max="9" width="11.5546875" customWidth="1"/>
  </cols>
  <sheetData>
    <row r="1" spans="1:9" ht="20.399999999999999">
      <c r="A1" s="279" t="s">
        <v>634</v>
      </c>
      <c r="B1" s="280"/>
      <c r="C1" s="280"/>
      <c r="D1" s="280"/>
      <c r="E1" s="280"/>
      <c r="F1" s="280"/>
      <c r="G1" s="281"/>
      <c r="H1" s="281"/>
      <c r="I1" s="281"/>
    </row>
    <row r="2" spans="1:9" ht="24.6">
      <c r="A2" s="281"/>
      <c r="B2" s="281"/>
      <c r="C2" s="282" t="s">
        <v>635</v>
      </c>
      <c r="D2" s="281"/>
      <c r="E2" s="281"/>
      <c r="F2" s="281"/>
      <c r="G2" s="281"/>
      <c r="H2" s="281"/>
      <c r="I2" s="281"/>
    </row>
    <row r="3" spans="1:9">
      <c r="A3" s="281"/>
      <c r="B3" s="281"/>
      <c r="C3" s="281"/>
      <c r="D3" s="281"/>
      <c r="E3" s="281"/>
      <c r="F3" s="281"/>
      <c r="G3" s="281"/>
      <c r="H3" s="281"/>
      <c r="I3" s="281"/>
    </row>
    <row r="4" spans="1:9" ht="15.6">
      <c r="A4" s="283" t="s">
        <v>636</v>
      </c>
      <c r="B4" s="281"/>
      <c r="C4" s="281"/>
      <c r="D4" s="281"/>
      <c r="E4" s="281"/>
      <c r="F4" s="281"/>
      <c r="G4" s="281"/>
      <c r="H4" s="281"/>
      <c r="I4" s="281"/>
    </row>
    <row r="5" spans="1:9">
      <c r="A5" s="281" t="s">
        <v>637</v>
      </c>
      <c r="B5" s="281"/>
      <c r="C5" s="281"/>
      <c r="D5" s="281"/>
      <c r="E5" s="281"/>
      <c r="F5" s="284">
        <v>4012500</v>
      </c>
      <c r="G5" s="281" t="s">
        <v>638</v>
      </c>
      <c r="H5" s="281"/>
      <c r="I5" s="281"/>
    </row>
    <row r="6" spans="1:9">
      <c r="A6" s="281"/>
      <c r="B6" s="281"/>
      <c r="C6" s="281"/>
      <c r="D6" s="281"/>
      <c r="E6" s="281"/>
      <c r="F6" s="281"/>
      <c r="G6" s="281"/>
      <c r="H6" s="281"/>
      <c r="I6" s="281"/>
    </row>
    <row r="7" spans="1:9" ht="15.6">
      <c r="A7" s="283" t="s">
        <v>639</v>
      </c>
      <c r="B7" s="281"/>
      <c r="C7" s="281"/>
      <c r="D7" s="281"/>
      <c r="E7" s="281"/>
      <c r="F7" s="285" t="s">
        <v>640</v>
      </c>
      <c r="G7" s="281"/>
      <c r="H7" s="281"/>
      <c r="I7" s="281"/>
    </row>
    <row r="8" spans="1:9">
      <c r="A8" s="285"/>
      <c r="B8" s="281"/>
      <c r="C8" s="281"/>
      <c r="D8" s="281"/>
      <c r="E8" s="281"/>
      <c r="F8" s="281"/>
      <c r="G8" s="281"/>
      <c r="H8" s="281"/>
      <c r="I8" s="281"/>
    </row>
    <row r="9" spans="1:9">
      <c r="A9" s="286" t="s">
        <v>641</v>
      </c>
      <c r="B9" s="281"/>
      <c r="C9" s="281"/>
      <c r="D9" s="281"/>
      <c r="E9" s="281"/>
      <c r="F9" s="281"/>
      <c r="G9" s="281"/>
      <c r="H9" s="281"/>
      <c r="I9" s="281"/>
    </row>
    <row r="10" spans="1:9">
      <c r="A10" s="281"/>
      <c r="B10" s="281"/>
      <c r="C10" s="281"/>
      <c r="D10" s="281"/>
      <c r="E10" s="281"/>
      <c r="F10" s="281"/>
      <c r="G10" s="281"/>
      <c r="H10" s="281"/>
      <c r="I10" s="281"/>
    </row>
    <row r="11" spans="1:9">
      <c r="A11" s="287" t="s">
        <v>642</v>
      </c>
      <c r="B11" s="287" t="s">
        <v>643</v>
      </c>
      <c r="C11" s="979" t="s">
        <v>644</v>
      </c>
      <c r="D11" s="980"/>
      <c r="E11" s="980"/>
      <c r="F11" s="980"/>
      <c r="G11" s="980"/>
      <c r="H11" s="980"/>
      <c r="I11" s="981"/>
    </row>
    <row r="12" spans="1:9">
      <c r="A12" s="289"/>
      <c r="B12" s="289"/>
      <c r="C12" s="290">
        <v>1</v>
      </c>
      <c r="D12" s="290">
        <v>2</v>
      </c>
      <c r="E12" s="290">
        <v>3</v>
      </c>
      <c r="F12" s="290">
        <v>4</v>
      </c>
      <c r="G12" s="290">
        <v>5</v>
      </c>
      <c r="H12" s="290">
        <v>6</v>
      </c>
      <c r="I12" s="290">
        <v>7</v>
      </c>
    </row>
    <row r="13" spans="1:9">
      <c r="A13" s="291" t="s">
        <v>645</v>
      </c>
      <c r="B13" s="292"/>
      <c r="C13" s="293"/>
      <c r="D13" s="293"/>
      <c r="E13" s="293"/>
      <c r="F13" s="293"/>
      <c r="G13" s="293"/>
      <c r="H13" s="293"/>
      <c r="I13" s="293"/>
    </row>
    <row r="14" spans="1:9">
      <c r="A14" s="294" t="s">
        <v>218</v>
      </c>
      <c r="B14" s="295"/>
      <c r="C14" s="296">
        <v>6.5</v>
      </c>
      <c r="D14" s="296">
        <f t="shared" ref="D14:I14" si="0">C14+1.5</f>
        <v>8</v>
      </c>
      <c r="E14" s="296">
        <f t="shared" si="0"/>
        <v>9.5</v>
      </c>
      <c r="F14" s="296">
        <f t="shared" si="0"/>
        <v>11</v>
      </c>
      <c r="G14" s="296">
        <f t="shared" si="0"/>
        <v>12.5</v>
      </c>
      <c r="H14" s="296">
        <f t="shared" si="0"/>
        <v>14</v>
      </c>
      <c r="I14" s="296">
        <f t="shared" si="0"/>
        <v>15.5</v>
      </c>
    </row>
    <row r="15" spans="1:9">
      <c r="A15" s="294" t="s">
        <v>219</v>
      </c>
      <c r="B15" s="297" t="s">
        <v>646</v>
      </c>
      <c r="C15" s="298">
        <f>C14*$F$5</f>
        <v>26081250</v>
      </c>
      <c r="D15" s="298">
        <f t="shared" ref="D15:I15" si="1">D14*$F$5</f>
        <v>32100000</v>
      </c>
      <c r="E15" s="298">
        <f t="shared" si="1"/>
        <v>38118750</v>
      </c>
      <c r="F15" s="298">
        <f t="shared" si="1"/>
        <v>44137500</v>
      </c>
      <c r="G15" s="298">
        <f t="shared" si="1"/>
        <v>50156250</v>
      </c>
      <c r="H15" s="298">
        <f t="shared" si="1"/>
        <v>56175000</v>
      </c>
      <c r="I15" s="298">
        <f t="shared" si="1"/>
        <v>62193750</v>
      </c>
    </row>
    <row r="16" spans="1:9">
      <c r="A16" s="294" t="s">
        <v>220</v>
      </c>
      <c r="B16" s="297"/>
      <c r="C16" s="299">
        <f>C15/26</f>
        <v>1003125</v>
      </c>
      <c r="D16" s="299">
        <f t="shared" ref="D16:I16" si="2">D15/26</f>
        <v>1234615.3846153845</v>
      </c>
      <c r="E16" s="299">
        <f t="shared" si="2"/>
        <v>1466105.7692307692</v>
      </c>
      <c r="F16" s="299">
        <f t="shared" si="2"/>
        <v>1697596.1538461538</v>
      </c>
      <c r="G16" s="299">
        <f t="shared" si="2"/>
        <v>1929086.5384615385</v>
      </c>
      <c r="H16" s="299">
        <f t="shared" si="2"/>
        <v>2160576.923076923</v>
      </c>
      <c r="I16" s="299">
        <f t="shared" si="2"/>
        <v>2392067.3076923075</v>
      </c>
    </row>
    <row r="17" spans="1:9">
      <c r="A17" s="291" t="s">
        <v>647</v>
      </c>
      <c r="B17" s="292"/>
      <c r="C17" s="293"/>
      <c r="D17" s="293"/>
      <c r="E17" s="293"/>
      <c r="F17" s="293"/>
      <c r="G17" s="293"/>
      <c r="H17" s="293"/>
      <c r="I17" s="293"/>
    </row>
    <row r="18" spans="1:9">
      <c r="A18" s="294" t="s">
        <v>218</v>
      </c>
      <c r="B18" s="295"/>
      <c r="C18" s="296">
        <v>3.5</v>
      </c>
      <c r="D18" s="296">
        <f t="shared" ref="D18:I18" si="3">C18+1.5</f>
        <v>5</v>
      </c>
      <c r="E18" s="296">
        <f t="shared" si="3"/>
        <v>6.5</v>
      </c>
      <c r="F18" s="296">
        <f t="shared" si="3"/>
        <v>8</v>
      </c>
      <c r="G18" s="296">
        <f t="shared" si="3"/>
        <v>9.5</v>
      </c>
      <c r="H18" s="296">
        <f t="shared" si="3"/>
        <v>11</v>
      </c>
      <c r="I18" s="296">
        <f t="shared" si="3"/>
        <v>12.5</v>
      </c>
    </row>
    <row r="19" spans="1:9">
      <c r="A19" s="294" t="s">
        <v>219</v>
      </c>
      <c r="B19" s="297" t="s">
        <v>648</v>
      </c>
      <c r="C19" s="298">
        <f>C18*$F$5</f>
        <v>14043750</v>
      </c>
      <c r="D19" s="298">
        <f t="shared" ref="D19:I19" si="4">D18*$F$5</f>
        <v>20062500</v>
      </c>
      <c r="E19" s="298">
        <f t="shared" si="4"/>
        <v>26081250</v>
      </c>
      <c r="F19" s="298">
        <f t="shared" si="4"/>
        <v>32100000</v>
      </c>
      <c r="G19" s="298">
        <f t="shared" si="4"/>
        <v>38118750</v>
      </c>
      <c r="H19" s="298">
        <f t="shared" si="4"/>
        <v>44137500</v>
      </c>
      <c r="I19" s="298">
        <f t="shared" si="4"/>
        <v>50156250</v>
      </c>
    </row>
    <row r="20" spans="1:9">
      <c r="A20" s="294" t="s">
        <v>220</v>
      </c>
      <c r="B20" s="297"/>
      <c r="C20" s="299">
        <f>C19/26</f>
        <v>540144.23076923075</v>
      </c>
      <c r="D20" s="299">
        <f t="shared" ref="D20:I20" si="5">D19/26</f>
        <v>771634.61538461538</v>
      </c>
      <c r="E20" s="299">
        <f t="shared" si="5"/>
        <v>1003125</v>
      </c>
      <c r="F20" s="299">
        <f t="shared" si="5"/>
        <v>1234615.3846153845</v>
      </c>
      <c r="G20" s="299">
        <f t="shared" si="5"/>
        <v>1466105.7692307692</v>
      </c>
      <c r="H20" s="299">
        <f t="shared" si="5"/>
        <v>1697596.1538461538</v>
      </c>
      <c r="I20" s="299">
        <f t="shared" si="5"/>
        <v>1929086.5384615385</v>
      </c>
    </row>
    <row r="21" spans="1:9">
      <c r="A21" s="291" t="s">
        <v>649</v>
      </c>
      <c r="B21" s="292"/>
      <c r="C21" s="300"/>
      <c r="D21" s="300"/>
      <c r="E21" s="300"/>
      <c r="F21" s="300"/>
      <c r="G21" s="300"/>
      <c r="H21" s="300"/>
      <c r="I21" s="300"/>
    </row>
    <row r="22" spans="1:9">
      <c r="A22" s="294" t="s">
        <v>218</v>
      </c>
      <c r="B22" s="295"/>
      <c r="C22" s="296">
        <v>2.5</v>
      </c>
      <c r="D22" s="296">
        <f t="shared" ref="D22:I22" si="6">C22+1</f>
        <v>3.5</v>
      </c>
      <c r="E22" s="296">
        <f t="shared" si="6"/>
        <v>4.5</v>
      </c>
      <c r="F22" s="296">
        <f t="shared" si="6"/>
        <v>5.5</v>
      </c>
      <c r="G22" s="296">
        <f t="shared" si="6"/>
        <v>6.5</v>
      </c>
      <c r="H22" s="296">
        <f t="shared" si="6"/>
        <v>7.5</v>
      </c>
      <c r="I22" s="296">
        <f t="shared" si="6"/>
        <v>8.5</v>
      </c>
    </row>
    <row r="23" spans="1:9">
      <c r="A23" s="294" t="s">
        <v>219</v>
      </c>
      <c r="B23" s="297" t="s">
        <v>650</v>
      </c>
      <c r="C23" s="298">
        <f>C22*$F$5</f>
        <v>10031250</v>
      </c>
      <c r="D23" s="298">
        <f t="shared" ref="D23:I23" si="7">D22*$F$5</f>
        <v>14043750</v>
      </c>
      <c r="E23" s="298">
        <f t="shared" si="7"/>
        <v>18056250</v>
      </c>
      <c r="F23" s="298">
        <f t="shared" si="7"/>
        <v>22068750</v>
      </c>
      <c r="G23" s="298">
        <f t="shared" si="7"/>
        <v>26081250</v>
      </c>
      <c r="H23" s="298">
        <f t="shared" si="7"/>
        <v>30093750</v>
      </c>
      <c r="I23" s="298">
        <f t="shared" si="7"/>
        <v>34106250</v>
      </c>
    </row>
    <row r="24" spans="1:9">
      <c r="A24" s="294" t="s">
        <v>220</v>
      </c>
      <c r="B24" s="297"/>
      <c r="C24" s="299">
        <f>C23/26</f>
        <v>385817.30769230769</v>
      </c>
      <c r="D24" s="299">
        <f t="shared" ref="D24:I24" si="8">D23/26</f>
        <v>540144.23076923075</v>
      </c>
      <c r="E24" s="299">
        <f t="shared" si="8"/>
        <v>694471.15384615387</v>
      </c>
      <c r="F24" s="299">
        <f t="shared" si="8"/>
        <v>848798.07692307688</v>
      </c>
      <c r="G24" s="299">
        <f t="shared" si="8"/>
        <v>1003125</v>
      </c>
      <c r="H24" s="299">
        <f t="shared" si="8"/>
        <v>1157451.923076923</v>
      </c>
      <c r="I24" s="299">
        <f t="shared" si="8"/>
        <v>1311778.8461538462</v>
      </c>
    </row>
    <row r="25" spans="1:9">
      <c r="A25" s="281"/>
      <c r="B25" s="281"/>
      <c r="C25" s="281"/>
      <c r="D25" s="281"/>
      <c r="E25" s="281"/>
      <c r="F25" s="281"/>
      <c r="G25" s="281"/>
      <c r="H25" s="281"/>
      <c r="I25" s="281"/>
    </row>
    <row r="26" spans="1:9">
      <c r="A26" s="286" t="s">
        <v>651</v>
      </c>
      <c r="B26" s="281"/>
      <c r="C26" s="281"/>
      <c r="D26" s="281"/>
      <c r="E26" s="281"/>
      <c r="F26" s="281"/>
      <c r="G26" s="281"/>
      <c r="H26" s="281"/>
      <c r="I26" s="281"/>
    </row>
    <row r="27" spans="1:9">
      <c r="A27" s="285"/>
      <c r="B27" s="281"/>
      <c r="C27" s="281"/>
      <c r="D27" s="281"/>
      <c r="E27" s="281"/>
      <c r="F27" s="281"/>
      <c r="G27" s="281"/>
      <c r="H27" s="281"/>
      <c r="I27" s="281"/>
    </row>
    <row r="28" spans="1:9">
      <c r="A28" s="287" t="s">
        <v>642</v>
      </c>
      <c r="B28" s="287" t="s">
        <v>643</v>
      </c>
      <c r="C28" s="979" t="s">
        <v>644</v>
      </c>
      <c r="D28" s="980"/>
      <c r="E28" s="980"/>
      <c r="F28" s="980"/>
      <c r="G28" s="980"/>
      <c r="H28" s="980"/>
      <c r="I28" s="981"/>
    </row>
    <row r="29" spans="1:9">
      <c r="A29" s="289"/>
      <c r="B29" s="289"/>
      <c r="C29" s="288">
        <v>1</v>
      </c>
      <c r="D29" s="288">
        <v>2</v>
      </c>
      <c r="E29" s="288">
        <v>3</v>
      </c>
      <c r="F29" s="288">
        <v>4</v>
      </c>
      <c r="G29" s="288">
        <v>5</v>
      </c>
      <c r="H29" s="288">
        <v>6</v>
      </c>
      <c r="I29" s="288">
        <v>7</v>
      </c>
    </row>
    <row r="30" spans="1:9">
      <c r="A30" s="291" t="s">
        <v>652</v>
      </c>
      <c r="B30" s="292"/>
      <c r="C30" s="293"/>
      <c r="D30" s="293"/>
      <c r="E30" s="293"/>
      <c r="F30" s="293"/>
      <c r="G30" s="293"/>
      <c r="H30" s="293"/>
      <c r="I30" s="293"/>
    </row>
    <row r="31" spans="1:9">
      <c r="A31" s="294" t="s">
        <v>218</v>
      </c>
      <c r="B31" s="295"/>
      <c r="C31" s="296">
        <v>2.5</v>
      </c>
      <c r="D31" s="296">
        <f t="shared" ref="D31:I31" si="9">C31+0.8</f>
        <v>3.3</v>
      </c>
      <c r="E31" s="296">
        <f t="shared" si="9"/>
        <v>4.0999999999999996</v>
      </c>
      <c r="F31" s="296">
        <f t="shared" si="9"/>
        <v>4.8999999999999995</v>
      </c>
      <c r="G31" s="296">
        <f t="shared" si="9"/>
        <v>5.6999999999999993</v>
      </c>
      <c r="H31" s="296">
        <f t="shared" si="9"/>
        <v>6.4999999999999991</v>
      </c>
      <c r="I31" s="296">
        <f t="shared" si="9"/>
        <v>7.2999999999999989</v>
      </c>
    </row>
    <row r="32" spans="1:9">
      <c r="A32" s="294" t="s">
        <v>219</v>
      </c>
      <c r="B32" s="297" t="s">
        <v>208</v>
      </c>
      <c r="C32" s="298">
        <f>C31*$F$5</f>
        <v>10031250</v>
      </c>
      <c r="D32" s="298">
        <f t="shared" ref="D32:I32" si="10">D31*$F$5</f>
        <v>13241250</v>
      </c>
      <c r="E32" s="298">
        <f t="shared" si="10"/>
        <v>16451249.999999998</v>
      </c>
      <c r="F32" s="298">
        <f t="shared" si="10"/>
        <v>19661249.999999996</v>
      </c>
      <c r="G32" s="298">
        <f t="shared" si="10"/>
        <v>22871249.999999996</v>
      </c>
      <c r="H32" s="298">
        <f t="shared" si="10"/>
        <v>26081249.999999996</v>
      </c>
      <c r="I32" s="298">
        <f t="shared" si="10"/>
        <v>29291249.999999996</v>
      </c>
    </row>
    <row r="33" spans="1:9">
      <c r="A33" s="294" t="s">
        <v>220</v>
      </c>
      <c r="B33" s="297"/>
      <c r="C33" s="299">
        <f>C32/26</f>
        <v>385817.30769230769</v>
      </c>
      <c r="D33" s="299">
        <f t="shared" ref="D33:I33" si="11">D32/26</f>
        <v>509278.84615384613</v>
      </c>
      <c r="E33" s="299">
        <f t="shared" si="11"/>
        <v>632740.38461538451</v>
      </c>
      <c r="F33" s="299">
        <f t="shared" si="11"/>
        <v>756201.92307692289</v>
      </c>
      <c r="G33" s="299">
        <f t="shared" si="11"/>
        <v>879663.46153846139</v>
      </c>
      <c r="H33" s="299">
        <f t="shared" si="11"/>
        <v>1003124.9999999999</v>
      </c>
      <c r="I33" s="299">
        <f t="shared" si="11"/>
        <v>1126586.5384615383</v>
      </c>
    </row>
    <row r="34" spans="1:9">
      <c r="A34" s="291" t="s">
        <v>653</v>
      </c>
      <c r="B34" s="292"/>
      <c r="C34" s="293"/>
      <c r="D34" s="293"/>
      <c r="E34" s="293"/>
      <c r="F34" s="293"/>
      <c r="G34" s="293"/>
      <c r="H34" s="293"/>
      <c r="I34" s="293"/>
    </row>
    <row r="35" spans="1:9">
      <c r="A35" s="294" t="s">
        <v>218</v>
      </c>
      <c r="B35" s="295"/>
      <c r="C35" s="296">
        <v>1.6</v>
      </c>
      <c r="D35" s="296">
        <f t="shared" ref="D35:I35" si="12">C35+0.2</f>
        <v>1.8</v>
      </c>
      <c r="E35" s="296">
        <f t="shared" si="12"/>
        <v>2</v>
      </c>
      <c r="F35" s="296">
        <f t="shared" si="12"/>
        <v>2.2000000000000002</v>
      </c>
      <c r="G35" s="296">
        <f t="shared" si="12"/>
        <v>2.4000000000000004</v>
      </c>
      <c r="H35" s="296">
        <f t="shared" si="12"/>
        <v>2.6000000000000005</v>
      </c>
      <c r="I35" s="296">
        <f t="shared" si="12"/>
        <v>2.8000000000000007</v>
      </c>
    </row>
    <row r="36" spans="1:9">
      <c r="A36" s="294" t="s">
        <v>219</v>
      </c>
      <c r="B36" s="297" t="s">
        <v>209</v>
      </c>
      <c r="C36" s="298">
        <f>C35*$F$5</f>
        <v>6420000</v>
      </c>
      <c r="D36" s="298">
        <f t="shared" ref="D36:I36" si="13">D35*$F$5</f>
        <v>7222500</v>
      </c>
      <c r="E36" s="298">
        <f t="shared" si="13"/>
        <v>8025000</v>
      </c>
      <c r="F36" s="298">
        <f t="shared" si="13"/>
        <v>8827500</v>
      </c>
      <c r="G36" s="298">
        <f t="shared" si="13"/>
        <v>9630000.0000000019</v>
      </c>
      <c r="H36" s="298">
        <f t="shared" si="13"/>
        <v>10432500.000000002</v>
      </c>
      <c r="I36" s="298">
        <f t="shared" si="13"/>
        <v>11235000.000000004</v>
      </c>
    </row>
    <row r="37" spans="1:9">
      <c r="A37" s="294" t="s">
        <v>220</v>
      </c>
      <c r="B37" s="297"/>
      <c r="C37" s="299">
        <f>C36/26</f>
        <v>246923.07692307694</v>
      </c>
      <c r="D37" s="299">
        <f t="shared" ref="D37:I37" si="14">D36/26</f>
        <v>277788.46153846156</v>
      </c>
      <c r="E37" s="299">
        <f t="shared" si="14"/>
        <v>308653.84615384613</v>
      </c>
      <c r="F37" s="299">
        <f t="shared" si="14"/>
        <v>339519.23076923075</v>
      </c>
      <c r="G37" s="299">
        <f t="shared" si="14"/>
        <v>370384.61538461543</v>
      </c>
      <c r="H37" s="299">
        <f t="shared" si="14"/>
        <v>401250.00000000006</v>
      </c>
      <c r="I37" s="299">
        <f t="shared" si="14"/>
        <v>432115.38461538474</v>
      </c>
    </row>
    <row r="38" spans="1:9">
      <c r="A38" s="301" t="s">
        <v>654</v>
      </c>
      <c r="B38" s="292"/>
      <c r="C38" s="300"/>
      <c r="D38" s="300"/>
      <c r="E38" s="300"/>
      <c r="F38" s="300"/>
      <c r="G38" s="300"/>
      <c r="H38" s="300"/>
      <c r="I38" s="300"/>
    </row>
    <row r="39" spans="1:9">
      <c r="A39" s="294" t="s">
        <v>218</v>
      </c>
      <c r="B39" s="295"/>
      <c r="C39" s="296">
        <v>1.3</v>
      </c>
      <c r="D39" s="296">
        <f t="shared" ref="D39:I39" si="15">C39+0.1</f>
        <v>1.4000000000000001</v>
      </c>
      <c r="E39" s="296">
        <f t="shared" si="15"/>
        <v>1.5000000000000002</v>
      </c>
      <c r="F39" s="296">
        <f t="shared" si="15"/>
        <v>1.6000000000000003</v>
      </c>
      <c r="G39" s="296">
        <f t="shared" si="15"/>
        <v>1.7000000000000004</v>
      </c>
      <c r="H39" s="296">
        <f t="shared" si="15"/>
        <v>1.8000000000000005</v>
      </c>
      <c r="I39" s="296">
        <f t="shared" si="15"/>
        <v>1.9000000000000006</v>
      </c>
    </row>
    <row r="40" spans="1:9">
      <c r="A40" s="294" t="s">
        <v>219</v>
      </c>
      <c r="B40" s="297" t="s">
        <v>210</v>
      </c>
      <c r="C40" s="298">
        <f>C39*$F$5</f>
        <v>5216250</v>
      </c>
      <c r="D40" s="298">
        <f t="shared" ref="D40:I40" si="16">D39*$F$5</f>
        <v>5617500.0000000009</v>
      </c>
      <c r="E40" s="298">
        <f t="shared" si="16"/>
        <v>6018750.0000000009</v>
      </c>
      <c r="F40" s="298">
        <f t="shared" si="16"/>
        <v>6420000.0000000009</v>
      </c>
      <c r="G40" s="298">
        <f t="shared" si="16"/>
        <v>6821250.0000000019</v>
      </c>
      <c r="H40" s="298">
        <f t="shared" si="16"/>
        <v>7222500.0000000019</v>
      </c>
      <c r="I40" s="298">
        <f t="shared" si="16"/>
        <v>7623750.0000000019</v>
      </c>
    </row>
    <row r="41" spans="1:9">
      <c r="A41" s="294" t="s">
        <v>220</v>
      </c>
      <c r="B41" s="297"/>
      <c r="C41" s="299">
        <f>C40/26</f>
        <v>200625</v>
      </c>
      <c r="D41" s="299">
        <f t="shared" ref="D41:I41" si="17">D40/26</f>
        <v>216057.69230769234</v>
      </c>
      <c r="E41" s="299">
        <f t="shared" si="17"/>
        <v>231490.38461538465</v>
      </c>
      <c r="F41" s="299">
        <f t="shared" si="17"/>
        <v>246923.07692307697</v>
      </c>
      <c r="G41" s="299">
        <f t="shared" si="17"/>
        <v>262355.76923076931</v>
      </c>
      <c r="H41" s="299">
        <f t="shared" si="17"/>
        <v>277788.46153846162</v>
      </c>
      <c r="I41" s="299">
        <f t="shared" si="17"/>
        <v>293221.15384615393</v>
      </c>
    </row>
    <row r="42" spans="1:9">
      <c r="A42" s="302" t="s">
        <v>655</v>
      </c>
      <c r="B42" s="292"/>
      <c r="C42" s="300"/>
      <c r="D42" s="300"/>
      <c r="E42" s="300"/>
      <c r="F42" s="300"/>
      <c r="G42" s="300"/>
      <c r="H42" s="300"/>
      <c r="I42" s="300"/>
    </row>
    <row r="43" spans="1:9">
      <c r="A43" s="294" t="s">
        <v>218</v>
      </c>
      <c r="B43" s="295"/>
      <c r="C43" s="296">
        <v>1.2</v>
      </c>
      <c r="D43" s="296">
        <f t="shared" ref="D43:I43" si="18">C43+0.2</f>
        <v>1.4</v>
      </c>
      <c r="E43" s="296">
        <f t="shared" si="18"/>
        <v>1.5999999999999999</v>
      </c>
      <c r="F43" s="296">
        <f t="shared" si="18"/>
        <v>1.7999999999999998</v>
      </c>
      <c r="G43" s="296">
        <f t="shared" si="18"/>
        <v>1.9999999999999998</v>
      </c>
      <c r="H43" s="296">
        <f t="shared" si="18"/>
        <v>2.1999999999999997</v>
      </c>
      <c r="I43" s="296">
        <f t="shared" si="18"/>
        <v>2.4</v>
      </c>
    </row>
    <row r="44" spans="1:9">
      <c r="A44" s="294" t="s">
        <v>219</v>
      </c>
      <c r="B44" s="297" t="s">
        <v>211</v>
      </c>
      <c r="C44" s="298">
        <f>C43*$F$5</f>
        <v>4815000</v>
      </c>
      <c r="D44" s="298">
        <f t="shared" ref="D44:I44" si="19">D43*$F$5</f>
        <v>5617500</v>
      </c>
      <c r="E44" s="298">
        <f t="shared" si="19"/>
        <v>6419999.9999999991</v>
      </c>
      <c r="F44" s="298">
        <f t="shared" si="19"/>
        <v>7222499.9999999991</v>
      </c>
      <c r="G44" s="298">
        <f t="shared" si="19"/>
        <v>8024999.9999999991</v>
      </c>
      <c r="H44" s="298">
        <f t="shared" si="19"/>
        <v>8827499.9999999981</v>
      </c>
      <c r="I44" s="298">
        <f t="shared" si="19"/>
        <v>9630000</v>
      </c>
    </row>
    <row r="45" spans="1:9">
      <c r="A45" s="294" t="s">
        <v>220</v>
      </c>
      <c r="B45" s="297"/>
      <c r="C45" s="299">
        <f>C44/26</f>
        <v>185192.30769230769</v>
      </c>
      <c r="D45" s="299">
        <f t="shared" ref="D45:I45" si="20">D44/26</f>
        <v>216057.69230769231</v>
      </c>
      <c r="E45" s="299">
        <f t="shared" si="20"/>
        <v>246923.07692307688</v>
      </c>
      <c r="F45" s="299">
        <f t="shared" si="20"/>
        <v>277788.4615384615</v>
      </c>
      <c r="G45" s="299">
        <f t="shared" si="20"/>
        <v>308653.84615384613</v>
      </c>
      <c r="H45" s="299">
        <f t="shared" si="20"/>
        <v>339519.23076923069</v>
      </c>
      <c r="I45" s="299">
        <f t="shared" si="20"/>
        <v>370384.61538461538</v>
      </c>
    </row>
    <row r="46" spans="1:9">
      <c r="A46" s="291" t="s">
        <v>656</v>
      </c>
      <c r="B46" s="292"/>
      <c r="C46" s="300"/>
      <c r="D46" s="300"/>
      <c r="E46" s="300"/>
      <c r="F46" s="300"/>
      <c r="G46" s="300"/>
      <c r="H46" s="300"/>
      <c r="I46" s="300"/>
    </row>
    <row r="47" spans="1:9">
      <c r="A47" s="294" t="s">
        <v>218</v>
      </c>
      <c r="B47" s="295"/>
      <c r="C47" s="296">
        <v>1</v>
      </c>
      <c r="D47" s="296">
        <f t="shared" ref="D47:I47" si="21">C47+0.1</f>
        <v>1.1000000000000001</v>
      </c>
      <c r="E47" s="296">
        <f t="shared" si="21"/>
        <v>1.2000000000000002</v>
      </c>
      <c r="F47" s="296">
        <f t="shared" si="21"/>
        <v>1.3000000000000003</v>
      </c>
      <c r="G47" s="296">
        <f t="shared" si="21"/>
        <v>1.4000000000000004</v>
      </c>
      <c r="H47" s="296">
        <f t="shared" si="21"/>
        <v>1.5000000000000004</v>
      </c>
      <c r="I47" s="296">
        <f t="shared" si="21"/>
        <v>1.6000000000000005</v>
      </c>
    </row>
    <row r="48" spans="1:9">
      <c r="A48" s="294" t="s">
        <v>219</v>
      </c>
      <c r="B48" s="297" t="s">
        <v>212</v>
      </c>
      <c r="C48" s="298">
        <f>C47*$F$5</f>
        <v>4012500</v>
      </c>
      <c r="D48" s="298">
        <f t="shared" ref="D48:I48" si="22">D47*$F$5</f>
        <v>4413750</v>
      </c>
      <c r="E48" s="298">
        <f t="shared" si="22"/>
        <v>4815000.0000000009</v>
      </c>
      <c r="F48" s="298">
        <f t="shared" si="22"/>
        <v>5216250.0000000009</v>
      </c>
      <c r="G48" s="298">
        <f t="shared" si="22"/>
        <v>5617500.0000000019</v>
      </c>
      <c r="H48" s="298">
        <f t="shared" si="22"/>
        <v>6018750.0000000019</v>
      </c>
      <c r="I48" s="298">
        <f t="shared" si="22"/>
        <v>6420000.0000000019</v>
      </c>
    </row>
    <row r="49" spans="1:9">
      <c r="A49" s="294" t="s">
        <v>220</v>
      </c>
      <c r="B49" s="297"/>
      <c r="C49" s="299">
        <f>C48/26</f>
        <v>154326.92307692306</v>
      </c>
      <c r="D49" s="299">
        <f t="shared" ref="D49:I49" si="23">D48/26</f>
        <v>169759.61538461538</v>
      </c>
      <c r="E49" s="299">
        <f t="shared" si="23"/>
        <v>185192.30769230772</v>
      </c>
      <c r="F49" s="299">
        <f t="shared" si="23"/>
        <v>200625.00000000003</v>
      </c>
      <c r="G49" s="299">
        <f t="shared" si="23"/>
        <v>216057.69230769237</v>
      </c>
      <c r="H49" s="299">
        <f t="shared" si="23"/>
        <v>231490.38461538468</v>
      </c>
      <c r="I49" s="299">
        <f t="shared" si="23"/>
        <v>246923.07692307699</v>
      </c>
    </row>
    <row r="50" spans="1:9">
      <c r="A50" s="281"/>
      <c r="B50" s="281"/>
      <c r="C50" s="281"/>
      <c r="D50" s="281"/>
      <c r="E50" s="281"/>
      <c r="F50" s="281"/>
      <c r="G50" s="281"/>
      <c r="H50" s="281"/>
      <c r="I50" s="281"/>
    </row>
    <row r="51" spans="1:9">
      <c r="A51" s="286" t="s">
        <v>657</v>
      </c>
      <c r="B51" s="281"/>
      <c r="C51" s="281"/>
      <c r="D51" s="281"/>
      <c r="E51" s="281"/>
      <c r="F51" s="303"/>
      <c r="G51" s="281"/>
      <c r="H51" s="281"/>
      <c r="I51" s="281"/>
    </row>
    <row r="52" spans="1:9">
      <c r="A52" s="281"/>
      <c r="B52" s="281"/>
      <c r="C52" s="281"/>
      <c r="D52" s="281"/>
      <c r="E52" s="281"/>
      <c r="F52" s="281"/>
      <c r="G52" s="281"/>
      <c r="H52" s="281"/>
      <c r="I52" s="281"/>
    </row>
    <row r="53" spans="1:9">
      <c r="A53" s="287" t="s">
        <v>642</v>
      </c>
      <c r="B53" s="287" t="s">
        <v>643</v>
      </c>
      <c r="C53" s="979" t="s">
        <v>644</v>
      </c>
      <c r="D53" s="980"/>
      <c r="E53" s="980"/>
      <c r="F53" s="980"/>
      <c r="G53" s="980"/>
      <c r="H53" s="980"/>
      <c r="I53" s="981"/>
    </row>
    <row r="54" spans="1:9">
      <c r="A54" s="289"/>
      <c r="B54" s="289"/>
      <c r="C54" s="288">
        <v>1</v>
      </c>
      <c r="D54" s="288">
        <v>2</v>
      </c>
      <c r="E54" s="288">
        <v>3</v>
      </c>
      <c r="F54" s="288">
        <v>4</v>
      </c>
      <c r="G54" s="288">
        <v>5</v>
      </c>
      <c r="H54" s="288">
        <v>6</v>
      </c>
      <c r="I54" s="288">
        <v>7</v>
      </c>
    </row>
    <row r="55" spans="1:9">
      <c r="A55" s="291" t="s">
        <v>658</v>
      </c>
      <c r="B55" s="292"/>
      <c r="C55" s="293"/>
      <c r="D55" s="293"/>
      <c r="E55" s="293"/>
      <c r="F55" s="293"/>
      <c r="G55" s="293"/>
      <c r="H55" s="293"/>
      <c r="I55" s="293"/>
    </row>
    <row r="56" spans="1:9">
      <c r="A56" s="294" t="s">
        <v>218</v>
      </c>
      <c r="B56" s="295"/>
      <c r="C56" s="296">
        <v>1.17</v>
      </c>
      <c r="D56" s="296">
        <f t="shared" ref="D56:I56" si="24">C56+0.05</f>
        <v>1.22</v>
      </c>
      <c r="E56" s="296">
        <f t="shared" si="24"/>
        <v>1.27</v>
      </c>
      <c r="F56" s="296">
        <f t="shared" si="24"/>
        <v>1.32</v>
      </c>
      <c r="G56" s="296">
        <f t="shared" si="24"/>
        <v>1.37</v>
      </c>
      <c r="H56" s="296">
        <f t="shared" si="24"/>
        <v>1.4200000000000002</v>
      </c>
      <c r="I56" s="296">
        <f t="shared" si="24"/>
        <v>1.4700000000000002</v>
      </c>
    </row>
    <row r="57" spans="1:9">
      <c r="A57" s="294" t="s">
        <v>219</v>
      </c>
      <c r="B57" s="297" t="s">
        <v>659</v>
      </c>
      <c r="C57" s="298">
        <f>C56*$F$5</f>
        <v>4694625</v>
      </c>
      <c r="D57" s="298">
        <f t="shared" ref="D57:I57" si="25">D56*$F$5</f>
        <v>4895250</v>
      </c>
      <c r="E57" s="298">
        <f t="shared" si="25"/>
        <v>5095875</v>
      </c>
      <c r="F57" s="298">
        <f t="shared" si="25"/>
        <v>5296500</v>
      </c>
      <c r="G57" s="298">
        <f t="shared" si="25"/>
        <v>5497125</v>
      </c>
      <c r="H57" s="298">
        <f t="shared" si="25"/>
        <v>5697750.0000000009</v>
      </c>
      <c r="I57" s="298">
        <f t="shared" si="25"/>
        <v>5898375.0000000009</v>
      </c>
    </row>
    <row r="58" spans="1:9">
      <c r="A58" s="294" t="s">
        <v>220</v>
      </c>
      <c r="B58" s="297"/>
      <c r="C58" s="299">
        <f>C57/26</f>
        <v>180562.5</v>
      </c>
      <c r="D58" s="299">
        <f t="shared" ref="D58:I58" si="26">D57/26</f>
        <v>188278.84615384616</v>
      </c>
      <c r="E58" s="299">
        <f t="shared" si="26"/>
        <v>195995.19230769231</v>
      </c>
      <c r="F58" s="299">
        <f t="shared" si="26"/>
        <v>203711.53846153847</v>
      </c>
      <c r="G58" s="299">
        <f t="shared" si="26"/>
        <v>211427.88461538462</v>
      </c>
      <c r="H58" s="299">
        <f t="shared" si="26"/>
        <v>219144.23076923081</v>
      </c>
      <c r="I58" s="299">
        <f t="shared" si="26"/>
        <v>226860.57692307697</v>
      </c>
    </row>
    <row r="59" spans="1:9">
      <c r="A59" s="302" t="s">
        <v>660</v>
      </c>
      <c r="B59" s="292"/>
      <c r="C59" s="300"/>
      <c r="D59" s="300"/>
      <c r="E59" s="300"/>
      <c r="F59" s="300"/>
      <c r="G59" s="300"/>
      <c r="H59" s="300"/>
      <c r="I59" s="300"/>
    </row>
    <row r="60" spans="1:9">
      <c r="A60" s="294" t="s">
        <v>218</v>
      </c>
      <c r="B60" s="295"/>
      <c r="C60" s="296">
        <v>1.1000000000000001</v>
      </c>
      <c r="D60" s="296">
        <f t="shared" ref="D60:I60" si="27">C60+0.07</f>
        <v>1.1700000000000002</v>
      </c>
      <c r="E60" s="296">
        <f t="shared" si="27"/>
        <v>1.2400000000000002</v>
      </c>
      <c r="F60" s="296">
        <f t="shared" si="27"/>
        <v>1.3100000000000003</v>
      </c>
      <c r="G60" s="296">
        <f t="shared" si="27"/>
        <v>1.3800000000000003</v>
      </c>
      <c r="H60" s="296">
        <f t="shared" si="27"/>
        <v>1.4500000000000004</v>
      </c>
      <c r="I60" s="296">
        <f t="shared" si="27"/>
        <v>1.5200000000000005</v>
      </c>
    </row>
    <row r="61" spans="1:9">
      <c r="A61" s="294" t="s">
        <v>219</v>
      </c>
      <c r="B61" s="297" t="s">
        <v>661</v>
      </c>
      <c r="C61" s="298">
        <f>C60*$F$5</f>
        <v>4413750</v>
      </c>
      <c r="D61" s="298">
        <f t="shared" ref="D61:I61" si="28">D60*$F$5</f>
        <v>4694625.0000000009</v>
      </c>
      <c r="E61" s="298">
        <f t="shared" si="28"/>
        <v>4975500.0000000009</v>
      </c>
      <c r="F61" s="298">
        <f t="shared" si="28"/>
        <v>5256375.0000000009</v>
      </c>
      <c r="G61" s="298">
        <f t="shared" si="28"/>
        <v>5537250.0000000009</v>
      </c>
      <c r="H61" s="298">
        <f t="shared" si="28"/>
        <v>5818125.0000000019</v>
      </c>
      <c r="I61" s="298">
        <f t="shared" si="28"/>
        <v>6099000.0000000019</v>
      </c>
    </row>
    <row r="62" spans="1:9">
      <c r="A62" s="294" t="s">
        <v>220</v>
      </c>
      <c r="B62" s="297"/>
      <c r="C62" s="299">
        <f>C61/26</f>
        <v>169759.61538461538</v>
      </c>
      <c r="D62" s="299">
        <f t="shared" ref="D62:I62" si="29">D61/26</f>
        <v>180562.50000000003</v>
      </c>
      <c r="E62" s="299">
        <f t="shared" si="29"/>
        <v>191365.38461538465</v>
      </c>
      <c r="F62" s="299">
        <f t="shared" si="29"/>
        <v>202168.26923076928</v>
      </c>
      <c r="G62" s="299">
        <f t="shared" si="29"/>
        <v>212971.15384615387</v>
      </c>
      <c r="H62" s="299">
        <f t="shared" si="29"/>
        <v>223774.03846153853</v>
      </c>
      <c r="I62" s="299">
        <f t="shared" si="29"/>
        <v>234576.92307692315</v>
      </c>
    </row>
    <row r="63" spans="1:9">
      <c r="A63" s="302" t="s">
        <v>662</v>
      </c>
      <c r="B63" s="292"/>
      <c r="C63" s="300"/>
      <c r="D63" s="300"/>
      <c r="E63" s="300"/>
      <c r="F63" s="300"/>
      <c r="G63" s="300"/>
      <c r="H63" s="300"/>
      <c r="I63" s="300"/>
    </row>
    <row r="64" spans="1:9">
      <c r="A64" s="294" t="s">
        <v>218</v>
      </c>
      <c r="B64" s="295"/>
      <c r="C64" s="296">
        <v>1.2</v>
      </c>
      <c r="D64" s="296">
        <f t="shared" ref="D64:I64" si="30">C64+0.1</f>
        <v>1.3</v>
      </c>
      <c r="E64" s="296">
        <f t="shared" si="30"/>
        <v>1.4000000000000001</v>
      </c>
      <c r="F64" s="296">
        <f t="shared" si="30"/>
        <v>1.5000000000000002</v>
      </c>
      <c r="G64" s="296">
        <f t="shared" si="30"/>
        <v>1.6000000000000003</v>
      </c>
      <c r="H64" s="296">
        <f t="shared" si="30"/>
        <v>1.7000000000000004</v>
      </c>
      <c r="I64" s="296">
        <f t="shared" si="30"/>
        <v>1.8000000000000005</v>
      </c>
    </row>
    <row r="65" spans="1:9">
      <c r="A65" s="294" t="s">
        <v>219</v>
      </c>
      <c r="B65" s="297" t="s">
        <v>663</v>
      </c>
      <c r="C65" s="298">
        <f>C64*$F$5</f>
        <v>4815000</v>
      </c>
      <c r="D65" s="298">
        <f t="shared" ref="D65:I65" si="31">D64*$F$5</f>
        <v>5216250</v>
      </c>
      <c r="E65" s="298">
        <f t="shared" si="31"/>
        <v>5617500.0000000009</v>
      </c>
      <c r="F65" s="298">
        <f t="shared" si="31"/>
        <v>6018750.0000000009</v>
      </c>
      <c r="G65" s="298">
        <f t="shared" si="31"/>
        <v>6420000.0000000009</v>
      </c>
      <c r="H65" s="298">
        <f t="shared" si="31"/>
        <v>6821250.0000000019</v>
      </c>
      <c r="I65" s="298">
        <f t="shared" si="31"/>
        <v>7222500.0000000019</v>
      </c>
    </row>
    <row r="66" spans="1:9">
      <c r="A66" s="294" t="s">
        <v>220</v>
      </c>
      <c r="B66" s="297"/>
      <c r="C66" s="299">
        <f>C65/26</f>
        <v>185192.30769230769</v>
      </c>
      <c r="D66" s="299">
        <f t="shared" ref="D66:I66" si="32">D65/26</f>
        <v>200625</v>
      </c>
      <c r="E66" s="299">
        <f t="shared" si="32"/>
        <v>216057.69230769234</v>
      </c>
      <c r="F66" s="299">
        <f t="shared" si="32"/>
        <v>231490.38461538465</v>
      </c>
      <c r="G66" s="299">
        <f t="shared" si="32"/>
        <v>246923.07692307697</v>
      </c>
      <c r="H66" s="299">
        <f t="shared" si="32"/>
        <v>262355.76923076931</v>
      </c>
      <c r="I66" s="299">
        <f t="shared" si="32"/>
        <v>277788.46153846162</v>
      </c>
    </row>
    <row r="67" spans="1:9">
      <c r="A67" s="302" t="s">
        <v>664</v>
      </c>
      <c r="B67" s="292"/>
      <c r="C67" s="300"/>
      <c r="D67" s="300"/>
      <c r="E67" s="300"/>
      <c r="F67" s="300"/>
      <c r="G67" s="300"/>
      <c r="H67" s="300"/>
      <c r="I67" s="300"/>
    </row>
    <row r="68" spans="1:9">
      <c r="A68" s="294" t="s">
        <v>218</v>
      </c>
      <c r="B68" s="295"/>
      <c r="C68" s="296">
        <v>1.05</v>
      </c>
      <c r="D68" s="296">
        <f t="shared" ref="D68:I68" si="33">C68+0.05</f>
        <v>1.1000000000000001</v>
      </c>
      <c r="E68" s="296">
        <f t="shared" si="33"/>
        <v>1.1500000000000001</v>
      </c>
      <c r="F68" s="296">
        <f t="shared" si="33"/>
        <v>1.2000000000000002</v>
      </c>
      <c r="G68" s="296">
        <f t="shared" si="33"/>
        <v>1.2500000000000002</v>
      </c>
      <c r="H68" s="296">
        <f t="shared" si="33"/>
        <v>1.3000000000000003</v>
      </c>
      <c r="I68" s="296">
        <f t="shared" si="33"/>
        <v>1.3500000000000003</v>
      </c>
    </row>
    <row r="69" spans="1:9">
      <c r="A69" s="294" t="s">
        <v>219</v>
      </c>
      <c r="B69" s="297" t="s">
        <v>665</v>
      </c>
      <c r="C69" s="298">
        <f>C68*$F$5</f>
        <v>4213125</v>
      </c>
      <c r="D69" s="298">
        <f t="shared" ref="D69:I69" si="34">D68*$F$5</f>
        <v>4413750</v>
      </c>
      <c r="E69" s="298">
        <f t="shared" si="34"/>
        <v>4614375.0000000009</v>
      </c>
      <c r="F69" s="298">
        <f t="shared" si="34"/>
        <v>4815000.0000000009</v>
      </c>
      <c r="G69" s="298">
        <f t="shared" si="34"/>
        <v>5015625.0000000009</v>
      </c>
      <c r="H69" s="298">
        <f t="shared" si="34"/>
        <v>5216250.0000000009</v>
      </c>
      <c r="I69" s="298">
        <f t="shared" si="34"/>
        <v>5416875.0000000009</v>
      </c>
    </row>
    <row r="70" spans="1:9">
      <c r="A70" s="294" t="s">
        <v>220</v>
      </c>
      <c r="B70" s="297"/>
      <c r="C70" s="299">
        <f>C69/26</f>
        <v>162043.26923076922</v>
      </c>
      <c r="D70" s="299">
        <f t="shared" ref="D70:I70" si="35">D69/26</f>
        <v>169759.61538461538</v>
      </c>
      <c r="E70" s="299">
        <f t="shared" si="35"/>
        <v>177475.96153846156</v>
      </c>
      <c r="F70" s="299">
        <f t="shared" si="35"/>
        <v>185192.30769230772</v>
      </c>
      <c r="G70" s="299">
        <f t="shared" si="35"/>
        <v>192908.65384615387</v>
      </c>
      <c r="H70" s="299">
        <f t="shared" si="35"/>
        <v>200625.00000000003</v>
      </c>
      <c r="I70" s="299">
        <f t="shared" si="35"/>
        <v>208341.34615384619</v>
      </c>
    </row>
    <row r="71" spans="1:9">
      <c r="A71" s="291" t="s">
        <v>666</v>
      </c>
      <c r="B71" s="292"/>
      <c r="C71" s="300"/>
      <c r="D71" s="300"/>
      <c r="E71" s="300"/>
      <c r="F71" s="300"/>
      <c r="G71" s="300"/>
      <c r="H71" s="300"/>
      <c r="I71" s="300"/>
    </row>
    <row r="72" spans="1:9">
      <c r="A72" s="294" t="s">
        <v>218</v>
      </c>
      <c r="B72" s="295"/>
      <c r="C72" s="296">
        <v>1.05</v>
      </c>
      <c r="D72" s="296">
        <f t="shared" ref="D72:I72" si="36">C72+0.07</f>
        <v>1.1200000000000001</v>
      </c>
      <c r="E72" s="296">
        <f t="shared" si="36"/>
        <v>1.1900000000000002</v>
      </c>
      <c r="F72" s="296">
        <f t="shared" si="36"/>
        <v>1.2600000000000002</v>
      </c>
      <c r="G72" s="296">
        <f t="shared" si="36"/>
        <v>1.3300000000000003</v>
      </c>
      <c r="H72" s="296">
        <f t="shared" si="36"/>
        <v>1.4000000000000004</v>
      </c>
      <c r="I72" s="296">
        <f t="shared" si="36"/>
        <v>1.4700000000000004</v>
      </c>
    </row>
    <row r="73" spans="1:9">
      <c r="A73" s="294" t="s">
        <v>219</v>
      </c>
      <c r="B73" s="297" t="s">
        <v>667</v>
      </c>
      <c r="C73" s="298">
        <f>C72*$F$5</f>
        <v>4213125</v>
      </c>
      <c r="D73" s="298">
        <f t="shared" ref="D73:I73" si="37">D72*$F$5</f>
        <v>4494000</v>
      </c>
      <c r="E73" s="298">
        <f t="shared" si="37"/>
        <v>4774875.0000000009</v>
      </c>
      <c r="F73" s="298">
        <f t="shared" si="37"/>
        <v>5055750.0000000009</v>
      </c>
      <c r="G73" s="298">
        <f t="shared" si="37"/>
        <v>5336625.0000000009</v>
      </c>
      <c r="H73" s="298">
        <f t="shared" si="37"/>
        <v>5617500.0000000019</v>
      </c>
      <c r="I73" s="298">
        <f t="shared" si="37"/>
        <v>5898375.0000000019</v>
      </c>
    </row>
    <row r="74" spans="1:9">
      <c r="A74" s="294" t="s">
        <v>220</v>
      </c>
      <c r="B74" s="297"/>
      <c r="C74" s="299">
        <f>C73/26</f>
        <v>162043.26923076922</v>
      </c>
      <c r="D74" s="299">
        <f t="shared" ref="D74:I74" si="38">D73/26</f>
        <v>172846.15384615384</v>
      </c>
      <c r="E74" s="299">
        <f t="shared" si="38"/>
        <v>183649.0384615385</v>
      </c>
      <c r="F74" s="299">
        <f t="shared" si="38"/>
        <v>194451.92307692312</v>
      </c>
      <c r="G74" s="299">
        <f t="shared" si="38"/>
        <v>205254.80769230772</v>
      </c>
      <c r="H74" s="299">
        <f t="shared" si="38"/>
        <v>216057.69230769237</v>
      </c>
      <c r="I74" s="299">
        <f t="shared" si="38"/>
        <v>226860.57692307699</v>
      </c>
    </row>
    <row r="75" spans="1:9">
      <c r="A75" s="291" t="s">
        <v>668</v>
      </c>
      <c r="B75" s="292"/>
      <c r="C75" s="300"/>
      <c r="D75" s="300"/>
      <c r="E75" s="300"/>
      <c r="F75" s="300"/>
      <c r="G75" s="300"/>
      <c r="H75" s="300"/>
      <c r="I75" s="300"/>
    </row>
    <row r="76" spans="1:9">
      <c r="A76" s="294" t="s">
        <v>218</v>
      </c>
      <c r="B76" s="295"/>
      <c r="C76" s="296">
        <v>1</v>
      </c>
      <c r="D76" s="296">
        <f t="shared" ref="D76:I76" si="39">C76+0.05</f>
        <v>1.05</v>
      </c>
      <c r="E76" s="296">
        <f t="shared" si="39"/>
        <v>1.1000000000000001</v>
      </c>
      <c r="F76" s="296">
        <f t="shared" si="39"/>
        <v>1.1500000000000001</v>
      </c>
      <c r="G76" s="296">
        <f t="shared" si="39"/>
        <v>1.2000000000000002</v>
      </c>
      <c r="H76" s="296">
        <f t="shared" si="39"/>
        <v>1.2500000000000002</v>
      </c>
      <c r="I76" s="296">
        <f t="shared" si="39"/>
        <v>1.3000000000000003</v>
      </c>
    </row>
    <row r="77" spans="1:9">
      <c r="A77" s="294" t="s">
        <v>219</v>
      </c>
      <c r="B77" s="297" t="s">
        <v>669</v>
      </c>
      <c r="C77" s="298">
        <f>C76*$F$5</f>
        <v>4012500</v>
      </c>
      <c r="D77" s="298">
        <f t="shared" ref="D77:I77" si="40">D76*$F$5</f>
        <v>4213125</v>
      </c>
      <c r="E77" s="298">
        <f t="shared" si="40"/>
        <v>4413750</v>
      </c>
      <c r="F77" s="298">
        <f t="shared" si="40"/>
        <v>4614375.0000000009</v>
      </c>
      <c r="G77" s="298">
        <f t="shared" si="40"/>
        <v>4815000.0000000009</v>
      </c>
      <c r="H77" s="298">
        <f t="shared" si="40"/>
        <v>5015625.0000000009</v>
      </c>
      <c r="I77" s="298">
        <f t="shared" si="40"/>
        <v>5216250.0000000009</v>
      </c>
    </row>
    <row r="78" spans="1:9">
      <c r="A78" s="294" t="s">
        <v>220</v>
      </c>
      <c r="B78" s="297"/>
      <c r="C78" s="299">
        <f>C77/26</f>
        <v>154326.92307692306</v>
      </c>
      <c r="D78" s="299">
        <f t="shared" ref="D78:I78" si="41">D77/26</f>
        <v>162043.26923076922</v>
      </c>
      <c r="E78" s="299">
        <f t="shared" si="41"/>
        <v>169759.61538461538</v>
      </c>
      <c r="F78" s="299">
        <f t="shared" si="41"/>
        <v>177475.96153846156</v>
      </c>
      <c r="G78" s="299">
        <f t="shared" si="41"/>
        <v>185192.30769230772</v>
      </c>
      <c r="H78" s="299">
        <f t="shared" si="41"/>
        <v>192908.65384615387</v>
      </c>
      <c r="I78" s="299">
        <f t="shared" si="41"/>
        <v>200625.00000000003</v>
      </c>
    </row>
  </sheetData>
  <mergeCells count="3">
    <mergeCell ref="C11:I11"/>
    <mergeCell ref="C28:I28"/>
    <mergeCell ref="C53:I53"/>
  </mergeCells>
  <pageMargins left="0.24" right="0.19" top="0.2" bottom="0.2" header="0.3" footer="0.3"/>
  <pageSetup paperSize="9" scale="9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 filterMode="1">
    <tabColor theme="6" tint="-0.249977111117893"/>
  </sheetPr>
  <dimension ref="A1:AO91"/>
  <sheetViews>
    <sheetView zoomScale="115" zoomScaleNormal="115" workbookViewId="0">
      <pane xSplit="5" ySplit="5" topLeftCell="O6" activePane="bottomRight" state="frozenSplit"/>
      <selection pane="topRight" activeCell="L1" sqref="L1"/>
      <selection pane="bottomLeft" activeCell="A6" sqref="A6"/>
      <selection pane="bottomRight" activeCell="AF7" sqref="AF7"/>
    </sheetView>
  </sheetViews>
  <sheetFormatPr defaultColWidth="9.109375" defaultRowHeight="13.8"/>
  <cols>
    <col min="1" max="1" width="5.109375" style="218" customWidth="1"/>
    <col min="2" max="2" width="7.88671875" style="218" customWidth="1"/>
    <col min="3" max="3" width="21.109375" style="218" customWidth="1"/>
    <col min="4" max="4" width="13.44140625" style="218" customWidth="1"/>
    <col min="5" max="5" width="13.109375" style="218" customWidth="1"/>
    <col min="6" max="6" width="7.6640625" style="218" customWidth="1"/>
    <col min="7" max="7" width="11.6640625" style="218" customWidth="1"/>
    <col min="8" max="8" width="8.109375" style="219" customWidth="1"/>
    <col min="9" max="9" width="6.5546875" style="219" bestFit="1" customWidth="1"/>
    <col min="10" max="10" width="14" style="275" customWidth="1"/>
    <col min="11" max="11" width="14" style="304" customWidth="1"/>
    <col min="12" max="12" width="11.33203125" style="312" customWidth="1"/>
    <col min="13" max="13" width="7.44140625" style="221" customWidth="1"/>
    <col min="14" max="14" width="10.33203125" style="220" bestFit="1" customWidth="1"/>
    <col min="15" max="19" width="7.44140625" style="220" customWidth="1"/>
    <col min="20" max="20" width="13.44140625" style="220" customWidth="1"/>
    <col min="21" max="21" width="11.109375" style="220" customWidth="1"/>
    <col min="22" max="22" width="12" style="220" customWidth="1"/>
    <col min="23" max="23" width="11.5546875" style="220" bestFit="1" customWidth="1"/>
    <col min="24" max="25" width="10.5546875" style="220" hidden="1" customWidth="1"/>
    <col min="26" max="26" width="10.5546875" style="220" customWidth="1"/>
    <col min="27" max="27" width="10.5546875" style="220" hidden="1" customWidth="1"/>
    <col min="28" max="28" width="10.5546875" style="270" customWidth="1"/>
    <col min="29" max="29" width="15" style="220" bestFit="1" customWidth="1"/>
    <col min="30" max="30" width="15" style="270" customWidth="1"/>
    <col min="31" max="32" width="15" style="304" customWidth="1"/>
    <col min="33" max="33" width="13.44140625" style="220" customWidth="1"/>
    <col min="34" max="34" width="13" style="220" customWidth="1"/>
    <col min="35" max="35" width="0.109375" style="220" hidden="1" customWidth="1"/>
    <col min="36" max="36" width="15.33203125" style="220" customWidth="1"/>
    <col min="37" max="37" width="14" style="218" customWidth="1"/>
    <col min="38" max="38" width="4.109375" style="220" hidden="1" customWidth="1"/>
    <col min="39" max="39" width="15.5546875" style="220" hidden="1" customWidth="1"/>
    <col min="40" max="41" width="9.109375" style="218" hidden="1" customWidth="1"/>
    <col min="42" max="46" width="9.109375" style="218" customWidth="1"/>
    <col min="47" max="16384" width="9.109375" style="218"/>
  </cols>
  <sheetData>
    <row r="1" spans="1:39">
      <c r="A1" s="218" t="s">
        <v>536</v>
      </c>
    </row>
    <row r="2" spans="1:39" ht="18" customHeight="1">
      <c r="A2" s="218" t="s">
        <v>537</v>
      </c>
      <c r="H2" s="218"/>
      <c r="J2" s="275" t="s">
        <v>591</v>
      </c>
      <c r="K2" s="309" t="s">
        <v>591</v>
      </c>
      <c r="L2" s="313"/>
      <c r="P2" s="222"/>
      <c r="T2" s="267">
        <v>42429</v>
      </c>
      <c r="AC2" s="220" t="s">
        <v>556</v>
      </c>
      <c r="AH2" s="223">
        <v>0.105</v>
      </c>
    </row>
    <row r="3" spans="1:39" ht="0.75" hidden="1" customHeight="1">
      <c r="G3" s="224">
        <f>3500000*107%</f>
        <v>3745000</v>
      </c>
      <c r="K3" s="220"/>
      <c r="L3" s="220"/>
      <c r="M3" s="225">
        <v>26</v>
      </c>
      <c r="N3" s="224"/>
      <c r="V3" s="224">
        <v>1</v>
      </c>
      <c r="W3" s="224">
        <v>300000</v>
      </c>
      <c r="AE3" s="270"/>
      <c r="AF3" s="270"/>
    </row>
    <row r="4" spans="1:39" s="228" customFormat="1" ht="103.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376</v>
      </c>
      <c r="F4" s="4" t="s">
        <v>377</v>
      </c>
      <c r="G4" s="4" t="s">
        <v>229</v>
      </c>
      <c r="H4" s="4" t="s">
        <v>217</v>
      </c>
      <c r="I4" s="4" t="s">
        <v>230</v>
      </c>
      <c r="J4" s="271" t="s">
        <v>538</v>
      </c>
      <c r="K4" s="305" t="s">
        <v>538</v>
      </c>
      <c r="L4" s="314"/>
      <c r="M4" s="169" t="s">
        <v>354</v>
      </c>
      <c r="N4" s="32" t="s">
        <v>534</v>
      </c>
      <c r="O4" s="32" t="s">
        <v>592</v>
      </c>
      <c r="P4" s="32" t="s">
        <v>357</v>
      </c>
      <c r="Q4" s="32" t="s">
        <v>387</v>
      </c>
      <c r="R4" s="32" t="s">
        <v>593</v>
      </c>
      <c r="S4" s="32" t="s">
        <v>388</v>
      </c>
      <c r="T4" s="32" t="s">
        <v>533</v>
      </c>
      <c r="U4" s="32" t="s">
        <v>535</v>
      </c>
      <c r="V4" s="32" t="s">
        <v>370</v>
      </c>
      <c r="W4" s="32" t="s">
        <v>371</v>
      </c>
      <c r="X4" s="32" t="s">
        <v>558</v>
      </c>
      <c r="Y4" s="32" t="s">
        <v>558</v>
      </c>
      <c r="Z4" s="32" t="s">
        <v>559</v>
      </c>
      <c r="AA4" s="32" t="s">
        <v>558</v>
      </c>
      <c r="AB4" s="271" t="s">
        <v>633</v>
      </c>
      <c r="AC4" s="32" t="s">
        <v>237</v>
      </c>
      <c r="AD4" s="271">
        <f>AE6-AD6</f>
        <v>1203750</v>
      </c>
      <c r="AE4" s="305"/>
      <c r="AF4" s="305" t="s">
        <v>670</v>
      </c>
      <c r="AG4" s="32" t="s">
        <v>545</v>
      </c>
      <c r="AH4" s="32" t="s">
        <v>544</v>
      </c>
      <c r="AI4" s="32" t="s">
        <v>546</v>
      </c>
      <c r="AJ4" s="32" t="s">
        <v>546</v>
      </c>
      <c r="AK4" s="226" t="s">
        <v>552</v>
      </c>
      <c r="AL4" s="227"/>
      <c r="AM4" s="227" t="s">
        <v>555</v>
      </c>
    </row>
    <row r="5" spans="1:39" s="10" customFormat="1" hidden="1">
      <c r="A5" s="23" t="s">
        <v>14</v>
      </c>
      <c r="B5" s="23"/>
      <c r="C5" s="23" t="s">
        <v>15</v>
      </c>
      <c r="D5" s="23"/>
      <c r="E5" s="23"/>
      <c r="F5" s="23"/>
      <c r="G5" s="25"/>
      <c r="H5" s="29"/>
      <c r="I5" s="29"/>
      <c r="J5" s="276"/>
      <c r="K5" s="34"/>
      <c r="L5" s="34"/>
      <c r="M5" s="79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203"/>
      <c r="AC5" s="34" t="e">
        <f ca="1">SUM(AC6:AC11)</f>
        <v>#N/A</v>
      </c>
      <c r="AD5" s="203"/>
      <c r="AE5" s="203"/>
      <c r="AF5" s="203"/>
      <c r="AG5" s="34" t="e">
        <f>SUM(AG6:AG11)</f>
        <v>#REF!</v>
      </c>
      <c r="AH5" s="34">
        <f>SUM(AH6:AH11)</f>
        <v>1125600</v>
      </c>
      <c r="AI5" s="34" t="e">
        <f ca="1">SUM(AI6:AI11)</f>
        <v>#N/A</v>
      </c>
      <c r="AJ5" s="34" t="e">
        <f ca="1">SUM(AJ6:AJ11)</f>
        <v>#N/A</v>
      </c>
      <c r="AK5" s="229"/>
      <c r="AL5" s="230"/>
      <c r="AM5" s="230"/>
    </row>
    <row r="6" spans="1:39" s="10" customFormat="1" ht="23.25" customHeight="1">
      <c r="A6" s="250">
        <v>1</v>
      </c>
      <c r="B6" s="3" t="s">
        <v>161</v>
      </c>
      <c r="C6" s="250" t="s">
        <v>562</v>
      </c>
      <c r="D6" s="250" t="s">
        <v>566</v>
      </c>
      <c r="E6" s="252">
        <v>42339</v>
      </c>
      <c r="F6" s="111">
        <f t="shared" ref="F6:F14" ca="1" si="0">IF(E6=0,0,INT((NOW()-E6)/365))</f>
        <v>3</v>
      </c>
      <c r="G6" s="22">
        <f t="shared" ref="G6:G75" si="1">$G$3</f>
        <v>3745000</v>
      </c>
      <c r="H6" s="251" t="s">
        <v>650</v>
      </c>
      <c r="I6" s="251">
        <v>3</v>
      </c>
      <c r="J6" s="277">
        <v>16852500</v>
      </c>
      <c r="K6" s="306">
        <f>VLOOKUP(H6,'thang luong moi'!B:I,'Bang luong (chaun)'!I6+1,0)</f>
        <v>18056250</v>
      </c>
      <c r="L6" s="315">
        <f t="shared" ref="L6:L11" si="2">(K6-J6)/K6</f>
        <v>6.6666666666666666E-2</v>
      </c>
      <c r="M6" s="77" t="e">
        <f>VLOOKUP(C6,CC!$C$5:$AJ$67,34,0)</f>
        <v>#N/A</v>
      </c>
      <c r="N6" s="22" t="e">
        <f>K6/26*M6</f>
        <v>#N/A</v>
      </c>
      <c r="O6" s="22" t="e">
        <f>VLOOKUP(C6,CC!$C$5:$AM$67,36,0)</f>
        <v>#N/A</v>
      </c>
      <c r="P6" s="22" t="e">
        <f>VLOOKUP(C6,CC!$C$5:$BS$67,69,0)</f>
        <v>#N/A</v>
      </c>
      <c r="Q6" s="22" t="e">
        <f>VLOOKUP(C6,CC!$C$5:$BT$67,70,0)</f>
        <v>#N/A</v>
      </c>
      <c r="R6" s="22" t="e">
        <f>VLOOKUP(C6,CC!$C$5:$AM$67,37,0)</f>
        <v>#N/A</v>
      </c>
      <c r="S6" s="22" t="e">
        <f>VLOOKUP(C6,CC!$C$5:$AM$67,35,0)</f>
        <v>#N/A</v>
      </c>
      <c r="T6" s="22" t="e">
        <f>((K6/26)*M6)+(O6*(K6/26))+((P6/8)*1.5*(K6/26))+((Q6/8)*2*K6/26)+(S6*3*(K6/26)+(K6/26)*R6)</f>
        <v>#N/A</v>
      </c>
      <c r="U6" s="22"/>
      <c r="V6" s="22">
        <f t="shared" ref="V6:V11" ca="1" si="3">IF((F6-$V$3)&gt;0,F6%*K6,0)</f>
        <v>541687.5</v>
      </c>
      <c r="W6" s="22"/>
      <c r="X6" s="22"/>
      <c r="Y6" s="22"/>
      <c r="Z6" s="22">
        <v>8148000</v>
      </c>
      <c r="AA6" s="22"/>
      <c r="AB6" s="199">
        <f>8148000-1872500</f>
        <v>6275500</v>
      </c>
      <c r="AC6" s="106" t="e">
        <f t="shared" ref="AC6:AC11" ca="1" si="4">T6+V6+W6+Z6+U6</f>
        <v>#N/A</v>
      </c>
      <c r="AD6" s="203">
        <f t="shared" ref="AD6:AD11" si="5">J6+AB6</f>
        <v>23128000</v>
      </c>
      <c r="AE6" s="204">
        <f t="shared" ref="AE6:AE11" si="6">K6+AB6</f>
        <v>24331750</v>
      </c>
      <c r="AF6" s="204">
        <v>25000000</v>
      </c>
      <c r="AG6" s="106" t="e">
        <f>'ung luong'!#REF!</f>
        <v>#REF!</v>
      </c>
      <c r="AH6" s="106">
        <f t="shared" ref="AH6:AH11" si="7">AM6*$AH$2</f>
        <v>0</v>
      </c>
      <c r="AI6" s="106" t="e">
        <f ca="1">AC6-AG6-AH6</f>
        <v>#N/A</v>
      </c>
      <c r="AJ6" s="106" t="e">
        <f ca="1">ROUND(AI6,-3)</f>
        <v>#N/A</v>
      </c>
      <c r="AK6" s="229"/>
      <c r="AL6" s="230"/>
      <c r="AM6" s="230"/>
    </row>
    <row r="7" spans="1:39" ht="21" customHeight="1">
      <c r="A7" s="250">
        <f>A6+1</f>
        <v>2</v>
      </c>
      <c r="B7" s="3" t="s">
        <v>162</v>
      </c>
      <c r="C7" s="3" t="s">
        <v>62</v>
      </c>
      <c r="D7" s="3" t="s">
        <v>201</v>
      </c>
      <c r="E7" s="110">
        <v>38078</v>
      </c>
      <c r="F7" s="111">
        <f t="shared" ca="1" si="0"/>
        <v>15</v>
      </c>
      <c r="G7" s="22">
        <f t="shared" si="1"/>
        <v>3745000</v>
      </c>
      <c r="H7" s="28" t="s">
        <v>209</v>
      </c>
      <c r="I7" s="28">
        <v>2</v>
      </c>
      <c r="J7" s="277">
        <v>6366500</v>
      </c>
      <c r="K7" s="306">
        <f>VLOOKUP(H7,'thang luong moi'!B:I,'Bang luong (chaun)'!I7+1,0)</f>
        <v>7222500</v>
      </c>
      <c r="L7" s="315">
        <f t="shared" si="2"/>
        <v>0.11851851851851852</v>
      </c>
      <c r="M7" s="77" t="e">
        <f>VLOOKUP(C7,CC!$C$5:$AJ$67,34,0)</f>
        <v>#N/A</v>
      </c>
      <c r="N7" s="22" t="e">
        <f>K7/26*M7</f>
        <v>#N/A</v>
      </c>
      <c r="O7" s="22" t="e">
        <f>VLOOKUP(C7,CC!$C$5:$AM$67,36,0)</f>
        <v>#N/A</v>
      </c>
      <c r="P7" s="22" t="e">
        <f>VLOOKUP(C7,CC!$C$5:$BS$67,69,0)</f>
        <v>#N/A</v>
      </c>
      <c r="Q7" s="22" t="e">
        <f>VLOOKUP(C7,CC!$C$5:$BT$67,70,0)</f>
        <v>#N/A</v>
      </c>
      <c r="R7" s="22" t="e">
        <f>VLOOKUP(C7,CC!$C$5:$AM$67,37,0)</f>
        <v>#N/A</v>
      </c>
      <c r="S7" s="22" t="e">
        <f>VLOOKUP(C7,CC!$C$5:$AM$67,35,0)</f>
        <v>#N/A</v>
      </c>
      <c r="T7" s="22" t="e">
        <f t="shared" ref="T7:T56" si="8">((K7/26)*M7)+(O7*(K7/26))+((P7/8)*1.5*(K7/26))+((Q7/8)*2*K7/26)+(S7*3*(K7/26)+(K7/26)*R7)</f>
        <v>#N/A</v>
      </c>
      <c r="U7" s="22"/>
      <c r="V7" s="22">
        <f t="shared" ca="1" si="3"/>
        <v>1083375</v>
      </c>
      <c r="W7" s="22">
        <f ca="1">(100%-SUMIF('chuyên cần'!$C$6:$AP$31,'Bang luong (chaun)'!C7,'chuyên cần'!$AP$7:$AP$31))*$W$3</f>
        <v>300000</v>
      </c>
      <c r="X7" s="22"/>
      <c r="Y7" s="22"/>
      <c r="Z7" s="22">
        <v>2999685</v>
      </c>
      <c r="AA7" s="22"/>
      <c r="AB7" s="199">
        <v>4000000</v>
      </c>
      <c r="AC7" s="106" t="e">
        <f t="shared" ca="1" si="4"/>
        <v>#N/A</v>
      </c>
      <c r="AD7" s="203">
        <f t="shared" si="5"/>
        <v>10366500</v>
      </c>
      <c r="AE7" s="204">
        <f t="shared" si="6"/>
        <v>11222500</v>
      </c>
      <c r="AF7" s="204">
        <v>10741000</v>
      </c>
      <c r="AG7" s="106" t="e">
        <f>'ung luong'!#REF!</f>
        <v>#REF!</v>
      </c>
      <c r="AH7" s="106">
        <f t="shared" si="7"/>
        <v>422100</v>
      </c>
      <c r="AI7" s="106" t="e">
        <f ca="1">AC7-AG7-AH7</f>
        <v>#N/A</v>
      </c>
      <c r="AJ7" s="106" t="e">
        <f ca="1">ROUND(AI7,-3)</f>
        <v>#N/A</v>
      </c>
      <c r="AK7" s="231"/>
      <c r="AM7" s="220">
        <v>4020000</v>
      </c>
    </row>
    <row r="8" spans="1:39" ht="21" customHeight="1">
      <c r="A8" s="250">
        <f>A7+1</f>
        <v>3</v>
      </c>
      <c r="B8" s="3" t="s">
        <v>163</v>
      </c>
      <c r="C8" s="3" t="s">
        <v>63</v>
      </c>
      <c r="D8" s="3" t="s">
        <v>202</v>
      </c>
      <c r="E8" s="110">
        <v>40868</v>
      </c>
      <c r="F8" s="111">
        <f t="shared" ca="1" si="0"/>
        <v>7</v>
      </c>
      <c r="G8" s="22">
        <f t="shared" si="1"/>
        <v>3745000</v>
      </c>
      <c r="H8" s="28" t="s">
        <v>209</v>
      </c>
      <c r="I8" s="28">
        <v>2</v>
      </c>
      <c r="J8" s="277">
        <v>6366500</v>
      </c>
      <c r="K8" s="306">
        <f>VLOOKUP(H8,'thang luong moi'!B:I,'Bang luong (chaun)'!I8+1,0)</f>
        <v>7222500</v>
      </c>
      <c r="L8" s="315">
        <f t="shared" si="2"/>
        <v>0.11851851851851852</v>
      </c>
      <c r="M8" s="77" t="e">
        <f>VLOOKUP(C8,CC!$C$5:$AJ$67,34,0)</f>
        <v>#N/A</v>
      </c>
      <c r="N8" s="22" t="e">
        <f t="shared" ref="N8:N55" si="9">K8/26*M8</f>
        <v>#N/A</v>
      </c>
      <c r="O8" s="22" t="e">
        <f>VLOOKUP(C8,CC!$C$5:$AM$67,36,0)</f>
        <v>#N/A</v>
      </c>
      <c r="P8" s="22" t="e">
        <f>VLOOKUP(C8,CC!$C$5:$BS$67,69,0)</f>
        <v>#N/A</v>
      </c>
      <c r="Q8" s="22" t="e">
        <f>VLOOKUP(C8,CC!$C$5:$BT$67,70,0)</f>
        <v>#N/A</v>
      </c>
      <c r="R8" s="22" t="e">
        <f>VLOOKUP(C8,CC!$C$5:$AM$67,37,0)</f>
        <v>#N/A</v>
      </c>
      <c r="S8" s="22" t="e">
        <f>VLOOKUP(C8,CC!$C$5:$AM$67,35,0)</f>
        <v>#N/A</v>
      </c>
      <c r="T8" s="22" t="e">
        <f t="shared" si="8"/>
        <v>#N/A</v>
      </c>
      <c r="U8" s="22"/>
      <c r="V8" s="22">
        <f t="shared" ca="1" si="3"/>
        <v>505575.00000000006</v>
      </c>
      <c r="W8" s="22">
        <f ca="1">(100%-SUMIF('chuyên cần'!$C$6:$AP$31,'Bang luong (chaun)'!C8,'chuyên cần'!$AP$7:$AP$31))*$W$3</f>
        <v>300000</v>
      </c>
      <c r="X8" s="22"/>
      <c r="Y8" s="22"/>
      <c r="Z8" s="22">
        <v>1845340</v>
      </c>
      <c r="AA8" s="22"/>
      <c r="AB8" s="199">
        <v>2400000</v>
      </c>
      <c r="AC8" s="106" t="e">
        <f t="shared" ca="1" si="4"/>
        <v>#N/A</v>
      </c>
      <c r="AD8" s="203">
        <f t="shared" si="5"/>
        <v>8766500</v>
      </c>
      <c r="AE8" s="204">
        <f t="shared" si="6"/>
        <v>9622500</v>
      </c>
      <c r="AF8" s="204">
        <v>9141000</v>
      </c>
      <c r="AG8" s="106" t="e">
        <f>'ung luong'!#REF!</f>
        <v>#REF!</v>
      </c>
      <c r="AH8" s="106">
        <f t="shared" si="7"/>
        <v>351750</v>
      </c>
      <c r="AI8" s="106" t="e">
        <f t="shared" ref="AI8:AI55" ca="1" si="10">AC8-AG8-AH8</f>
        <v>#N/A</v>
      </c>
      <c r="AJ8" s="106" t="e">
        <f t="shared" ref="AJ8:AJ55" ca="1" si="11">ROUND(AI8,-3)</f>
        <v>#N/A</v>
      </c>
      <c r="AK8" s="231"/>
      <c r="AM8" s="220">
        <v>3350000</v>
      </c>
    </row>
    <row r="9" spans="1:39" ht="21" customHeight="1">
      <c r="A9" s="250">
        <f>A8+1</f>
        <v>4</v>
      </c>
      <c r="B9" s="3" t="s">
        <v>164</v>
      </c>
      <c r="C9" s="3" t="s">
        <v>64</v>
      </c>
      <c r="D9" s="3" t="s">
        <v>103</v>
      </c>
      <c r="E9" s="110">
        <v>41715</v>
      </c>
      <c r="F9" s="111">
        <f t="shared" ca="1" si="0"/>
        <v>5</v>
      </c>
      <c r="G9" s="22">
        <f t="shared" si="1"/>
        <v>3745000</v>
      </c>
      <c r="H9" s="28" t="s">
        <v>659</v>
      </c>
      <c r="I9" s="28">
        <v>3</v>
      </c>
      <c r="J9" s="277">
        <v>4868500</v>
      </c>
      <c r="K9" s="306">
        <f>VLOOKUP(H9,'thang luong moi'!B:I,'Bang luong (chaun)'!I9+1,0)</f>
        <v>5095875</v>
      </c>
      <c r="L9" s="315">
        <f t="shared" si="2"/>
        <v>4.4619422572178477E-2</v>
      </c>
      <c r="M9" s="77" t="e">
        <f>VLOOKUP(C9,CC!$C$5:$AJ$67,34,0)</f>
        <v>#N/A</v>
      </c>
      <c r="N9" s="22" t="e">
        <f>K9/26*M9</f>
        <v>#N/A</v>
      </c>
      <c r="O9" s="22" t="e">
        <f>VLOOKUP(C9,CC!$C$5:$AM$67,36,0)</f>
        <v>#N/A</v>
      </c>
      <c r="P9" s="22" t="e">
        <f>VLOOKUP(C9,CC!$C$5:$BS$67,69,0)</f>
        <v>#N/A</v>
      </c>
      <c r="Q9" s="22" t="e">
        <f>VLOOKUP(C9,CC!$C$5:$BT$67,70,0)</f>
        <v>#N/A</v>
      </c>
      <c r="R9" s="22" t="e">
        <f>VLOOKUP(C9,CC!$C$5:$AM$67,37,0)</f>
        <v>#N/A</v>
      </c>
      <c r="S9" s="22" t="e">
        <f>VLOOKUP(C9,CC!$C$5:$AM$67,35,0)</f>
        <v>#N/A</v>
      </c>
      <c r="T9" s="22" t="e">
        <f t="shared" si="8"/>
        <v>#N/A</v>
      </c>
      <c r="U9" s="22"/>
      <c r="V9" s="22">
        <f t="shared" ca="1" si="3"/>
        <v>254793.75</v>
      </c>
      <c r="W9" s="22">
        <f ca="1">(100%-SUMIF('chuyên cần'!$C$6:$AP$31,'Bang luong (chaun)'!C9,'chuyên cần'!$AP$7:$AP$31))*$W$3</f>
        <v>300000</v>
      </c>
      <c r="X9" s="22"/>
      <c r="Y9" s="22"/>
      <c r="Z9" s="22">
        <v>800000</v>
      </c>
      <c r="AA9" s="22"/>
      <c r="AB9" s="199">
        <v>1197370</v>
      </c>
      <c r="AC9" s="106" t="e">
        <f t="shared" ca="1" si="4"/>
        <v>#N/A</v>
      </c>
      <c r="AD9" s="203">
        <f t="shared" si="5"/>
        <v>6065870</v>
      </c>
      <c r="AE9" s="204">
        <f t="shared" si="6"/>
        <v>6293245</v>
      </c>
      <c r="AF9" s="204">
        <v>5953520</v>
      </c>
      <c r="AG9" s="106" t="e">
        <f>'ung luong'!#REF!</f>
        <v>#REF!</v>
      </c>
      <c r="AH9" s="106">
        <f t="shared" si="7"/>
        <v>351750</v>
      </c>
      <c r="AI9" s="106" t="e">
        <f t="shared" ca="1" si="10"/>
        <v>#N/A</v>
      </c>
      <c r="AJ9" s="106" t="e">
        <f t="shared" ca="1" si="11"/>
        <v>#N/A</v>
      </c>
      <c r="AK9" s="231"/>
      <c r="AM9" s="220">
        <v>3350000</v>
      </c>
    </row>
    <row r="10" spans="1:39" ht="21" customHeight="1">
      <c r="A10" s="250">
        <f>A9+1</f>
        <v>5</v>
      </c>
      <c r="B10" s="3" t="s">
        <v>165</v>
      </c>
      <c r="C10" s="3" t="s">
        <v>65</v>
      </c>
      <c r="D10" s="3" t="s">
        <v>203</v>
      </c>
      <c r="E10" s="110">
        <v>42086</v>
      </c>
      <c r="F10" s="111">
        <f ca="1">IF(E10=0,0,INT((NOW()-E10)/365))</f>
        <v>4</v>
      </c>
      <c r="G10" s="22">
        <f t="shared" si="1"/>
        <v>3745000</v>
      </c>
      <c r="H10" s="28" t="s">
        <v>659</v>
      </c>
      <c r="I10" s="28">
        <v>1</v>
      </c>
      <c r="J10" s="277">
        <v>3745000</v>
      </c>
      <c r="K10" s="306">
        <f>VLOOKUP(H10,'thang luong moi'!B:I,'Bang luong (chaun)'!I10+1,0)</f>
        <v>4694625</v>
      </c>
      <c r="L10" s="315">
        <f t="shared" si="2"/>
        <v>0.20227920227920229</v>
      </c>
      <c r="M10" s="77">
        <f>VLOOKUP(C10,CC!$C$5:$AJ$67,34,0)</f>
        <v>27</v>
      </c>
      <c r="N10" s="22">
        <f>K10/26*M10</f>
        <v>4875187.5</v>
      </c>
      <c r="O10" s="22">
        <f>VLOOKUP(C10,CC!$C$5:$AM$67,36,0)</f>
        <v>0</v>
      </c>
      <c r="P10" s="22">
        <f>VLOOKUP(C10,CC!$C$5:$BS$67,69,0)</f>
        <v>0</v>
      </c>
      <c r="Q10" s="22">
        <f>VLOOKUP(C10,CC!$C$5:$BT$67,70,0)</f>
        <v>0</v>
      </c>
      <c r="R10" s="22">
        <f>VLOOKUP(C10,CC!$C$5:$AM$67,37,0)</f>
        <v>0</v>
      </c>
      <c r="S10" s="22">
        <f>VLOOKUP(C10,CC!$C$5:$AM$67,35,0)</f>
        <v>0</v>
      </c>
      <c r="T10" s="22">
        <f t="shared" si="8"/>
        <v>4875187.5</v>
      </c>
      <c r="U10" s="22"/>
      <c r="V10" s="22">
        <f t="shared" ca="1" si="3"/>
        <v>187785</v>
      </c>
      <c r="W10" s="22">
        <f ca="1">(100%-SUMIF('chuyên cần'!$C$6:$AP$31,'Bang luong (chaun)'!C10,'chuyên cần'!$AP$7:$AP$31))*$W$3</f>
        <v>300000</v>
      </c>
      <c r="X10" s="22"/>
      <c r="Y10" s="22"/>
      <c r="Z10" s="22">
        <v>800001</v>
      </c>
      <c r="AA10" s="22"/>
      <c r="AB10" s="199">
        <v>800001</v>
      </c>
      <c r="AC10" s="106">
        <f t="shared" ca="1" si="4"/>
        <v>6162973.5</v>
      </c>
      <c r="AD10" s="203">
        <f t="shared" si="5"/>
        <v>4545001</v>
      </c>
      <c r="AE10" s="204">
        <f t="shared" si="6"/>
        <v>5494626</v>
      </c>
      <c r="AF10" s="204">
        <v>5181651</v>
      </c>
      <c r="AG10" s="106" t="e">
        <f>'ung luong'!#REF!</f>
        <v>#REF!</v>
      </c>
      <c r="AH10" s="106">
        <f t="shared" si="7"/>
        <v>0</v>
      </c>
      <c r="AI10" s="106" t="e">
        <f ca="1">AC10-AG10-AH10</f>
        <v>#REF!</v>
      </c>
      <c r="AJ10" s="106" t="e">
        <f ca="1">ROUND(AI10,-3)</f>
        <v>#REF!</v>
      </c>
      <c r="AK10" s="231"/>
    </row>
    <row r="11" spans="1:39" ht="21" customHeight="1">
      <c r="A11" s="250">
        <f>A10+1</f>
        <v>6</v>
      </c>
      <c r="B11" s="250" t="s">
        <v>575</v>
      </c>
      <c r="C11" s="250" t="s">
        <v>568</v>
      </c>
      <c r="D11" s="250" t="s">
        <v>569</v>
      </c>
      <c r="E11" s="252">
        <v>42008</v>
      </c>
      <c r="F11" s="264">
        <f t="shared" ca="1" si="0"/>
        <v>4</v>
      </c>
      <c r="G11" s="249">
        <f t="shared" si="1"/>
        <v>3745000</v>
      </c>
      <c r="H11" s="251" t="s">
        <v>209</v>
      </c>
      <c r="I11" s="251">
        <v>3</v>
      </c>
      <c r="J11" s="277">
        <v>7490000</v>
      </c>
      <c r="K11" s="306">
        <f>VLOOKUP(H11,'thang luong moi'!B:I,'Bang luong (chaun)'!I11+1,0)</f>
        <v>8025000</v>
      </c>
      <c r="L11" s="315">
        <f t="shared" si="2"/>
        <v>6.6666666666666666E-2</v>
      </c>
      <c r="M11" s="259" t="e">
        <f>VLOOKUP(C11,CC!$C$5:$AJ$67,34,0)</f>
        <v>#N/A</v>
      </c>
      <c r="N11" s="249" t="e">
        <f>K11/26*M11</f>
        <v>#N/A</v>
      </c>
      <c r="O11" s="249" t="e">
        <f>VLOOKUP(C11,CC!$C$5:$AM$67,36,0)</f>
        <v>#N/A</v>
      </c>
      <c r="P11" s="249" t="e">
        <f>VLOOKUP(C11,CC!$C$5:$BS$67,69,0)</f>
        <v>#N/A</v>
      </c>
      <c r="Q11" s="249" t="e">
        <f>VLOOKUP(C11,CC!$C$5:$BT$67,70,0)</f>
        <v>#N/A</v>
      </c>
      <c r="R11" s="249" t="e">
        <f>VLOOKUP(C11,CC!$C$5:$AM$67,37,0)</f>
        <v>#N/A</v>
      </c>
      <c r="S11" s="249" t="e">
        <f>VLOOKUP(C11,CC!$C$5:$AM$67,35,0)</f>
        <v>#N/A</v>
      </c>
      <c r="T11" s="249" t="e">
        <f t="shared" si="8"/>
        <v>#N/A</v>
      </c>
      <c r="U11" s="249"/>
      <c r="V11" s="249">
        <f t="shared" ca="1" si="3"/>
        <v>321000</v>
      </c>
      <c r="W11" s="249">
        <f ca="1">(100%-SUMIF('chuyên cần'!$C$6:$AP$31,'Bang luong (chaun)'!C11,'chuyên cần'!$AP$7:$AP$31))*$W$3</f>
        <v>300000</v>
      </c>
      <c r="X11" s="249"/>
      <c r="Y11" s="249"/>
      <c r="Z11" s="249">
        <v>2500000</v>
      </c>
      <c r="AA11" s="249"/>
      <c r="AB11" s="199">
        <v>2500000</v>
      </c>
      <c r="AC11" s="265" t="e">
        <f t="shared" ca="1" si="4"/>
        <v>#N/A</v>
      </c>
      <c r="AD11" s="203">
        <f t="shared" si="5"/>
        <v>9990000</v>
      </c>
      <c r="AE11" s="204">
        <f t="shared" si="6"/>
        <v>10525000</v>
      </c>
      <c r="AF11" s="204">
        <v>9990000</v>
      </c>
      <c r="AG11" s="265" t="e">
        <f>'ung luong'!#REF!</f>
        <v>#REF!</v>
      </c>
      <c r="AH11" s="265">
        <f t="shared" si="7"/>
        <v>0</v>
      </c>
      <c r="AI11" s="265" t="e">
        <f ca="1">AC11-AG11-AH11</f>
        <v>#N/A</v>
      </c>
      <c r="AJ11" s="265" t="e">
        <f ca="1">ROUND(AI11,-3)</f>
        <v>#N/A</v>
      </c>
      <c r="AK11" s="266"/>
    </row>
    <row r="12" spans="1:39" s="10" customFormat="1" ht="21" hidden="1" customHeight="1">
      <c r="A12" s="23"/>
      <c r="B12" s="23"/>
      <c r="C12" s="23" t="s">
        <v>361</v>
      </c>
      <c r="D12" s="23"/>
      <c r="E12" s="23"/>
      <c r="F12" s="23"/>
      <c r="G12" s="25"/>
      <c r="H12" s="29"/>
      <c r="I12" s="29"/>
      <c r="J12" s="276"/>
      <c r="K12" s="34"/>
      <c r="L12" s="34"/>
      <c r="M12" s="232"/>
      <c r="N12" s="105"/>
      <c r="O12" s="105"/>
      <c r="P12" s="105"/>
      <c r="Q12" s="105"/>
      <c r="R12" s="105"/>
      <c r="S12" s="105"/>
      <c r="T12" s="34"/>
      <c r="U12" s="34"/>
      <c r="V12" s="174"/>
      <c r="W12" s="25"/>
      <c r="X12" s="34"/>
      <c r="Y12" s="34"/>
      <c r="Z12" s="34">
        <v>0</v>
      </c>
      <c r="AA12" s="34"/>
      <c r="AB12" s="203"/>
      <c r="AC12" s="34" t="e">
        <f ca="1">SUM(AC13:AC14)</f>
        <v>#N/A</v>
      </c>
      <c r="AD12" s="203"/>
      <c r="AE12" s="203"/>
      <c r="AF12" s="203"/>
      <c r="AG12" s="34" t="e">
        <f>SUM(AG13:AG14)</f>
        <v>#REF!</v>
      </c>
      <c r="AH12" s="34">
        <f>SUM(AH13:AH14)</f>
        <v>422100</v>
      </c>
      <c r="AI12" s="34" t="e">
        <f ca="1">SUM(AI13:AI14)</f>
        <v>#N/A</v>
      </c>
      <c r="AJ12" s="34" t="e">
        <f ca="1">SUM(AJ13:AJ14)</f>
        <v>#N/A</v>
      </c>
      <c r="AK12" s="229"/>
      <c r="AL12" s="220"/>
      <c r="AM12" s="230"/>
    </row>
    <row r="13" spans="1:39" ht="21" customHeight="1">
      <c r="A13" s="3">
        <f>A11+1</f>
        <v>7</v>
      </c>
      <c r="B13" s="3" t="s">
        <v>166</v>
      </c>
      <c r="C13" s="3" t="s">
        <v>36</v>
      </c>
      <c r="D13" s="3" t="s">
        <v>364</v>
      </c>
      <c r="E13" s="110">
        <v>40651</v>
      </c>
      <c r="F13" s="111">
        <f t="shared" ca="1" si="0"/>
        <v>8</v>
      </c>
      <c r="G13" s="22">
        <f t="shared" si="1"/>
        <v>3745000</v>
      </c>
      <c r="H13" s="28" t="s">
        <v>209</v>
      </c>
      <c r="I13" s="28">
        <v>3</v>
      </c>
      <c r="J13" s="277">
        <v>7115500</v>
      </c>
      <c r="K13" s="306">
        <f>VLOOKUP(H13,'thang luong moi'!B:I,'Bang luong (chaun)'!I13+1,0)</f>
        <v>8025000</v>
      </c>
      <c r="L13" s="315">
        <f>(K13-J13)/K13</f>
        <v>0.11333333333333333</v>
      </c>
      <c r="M13" s="77" t="e">
        <f>VLOOKUP(C13,CC!$C$5:$AJ$67,34,0)</f>
        <v>#N/A</v>
      </c>
      <c r="N13" s="22" t="e">
        <f t="shared" si="9"/>
        <v>#N/A</v>
      </c>
      <c r="O13" s="22" t="e">
        <f>VLOOKUP(C13,CC!$C$5:$AM$67,36,0)</f>
        <v>#N/A</v>
      </c>
      <c r="P13" s="22" t="e">
        <f>VLOOKUP(C13,CC!$C$5:$BS$67,69,0)</f>
        <v>#N/A</v>
      </c>
      <c r="Q13" s="22" t="e">
        <f>VLOOKUP(C13,CC!$C$5:$BT$67,70,0)</f>
        <v>#N/A</v>
      </c>
      <c r="R13" s="22" t="e">
        <f>VLOOKUP(C13,CC!$C$5:$AM$67,37,0)</f>
        <v>#N/A</v>
      </c>
      <c r="S13" s="22" t="e">
        <f>VLOOKUP(C13,CC!$C$5:$AM$67,35,0)</f>
        <v>#N/A</v>
      </c>
      <c r="T13" s="22" t="e">
        <f t="shared" si="8"/>
        <v>#N/A</v>
      </c>
      <c r="U13" s="22"/>
      <c r="V13" s="22">
        <f ca="1">IF((F13-$V$3)&gt;0,F13%*K13,0)</f>
        <v>642000</v>
      </c>
      <c r="W13" s="22">
        <f ca="1">(100%-SUMIF('chuyên cần'!$C$6:$AP$31,'Bang luong (chaun)'!C13,'chuyên cần'!$AP$7:$AP$31))*$W$3</f>
        <v>300000</v>
      </c>
      <c r="X13" s="22"/>
      <c r="Y13" s="22"/>
      <c r="Z13" s="22">
        <v>1715380</v>
      </c>
      <c r="AA13" s="22"/>
      <c r="AB13" s="199">
        <v>2300000</v>
      </c>
      <c r="AC13" s="106" t="e">
        <f ca="1">T13+V13+W13+Z13+U13</f>
        <v>#N/A</v>
      </c>
      <c r="AD13" s="203">
        <f>J13+AB13</f>
        <v>9415500</v>
      </c>
      <c r="AE13" s="204">
        <f>K13+AB13</f>
        <v>10325000</v>
      </c>
      <c r="AF13" s="204">
        <v>9790000</v>
      </c>
      <c r="AG13" s="106" t="e">
        <f>'ung luong'!#REF!</f>
        <v>#REF!</v>
      </c>
      <c r="AH13" s="106">
        <f>AM13*$AH$2</f>
        <v>422100</v>
      </c>
      <c r="AI13" s="106" t="e">
        <f t="shared" ca="1" si="10"/>
        <v>#N/A</v>
      </c>
      <c r="AJ13" s="106" t="e">
        <f t="shared" ca="1" si="11"/>
        <v>#N/A</v>
      </c>
      <c r="AK13" s="231"/>
      <c r="AM13" s="220">
        <v>4020000</v>
      </c>
    </row>
    <row r="14" spans="1:39" ht="21" customHeight="1">
      <c r="A14" s="3">
        <f>A13+1</f>
        <v>8</v>
      </c>
      <c r="B14" s="3" t="s">
        <v>167</v>
      </c>
      <c r="C14" s="3" t="s">
        <v>362</v>
      </c>
      <c r="D14" s="3" t="s">
        <v>363</v>
      </c>
      <c r="E14" s="110"/>
      <c r="F14" s="111">
        <f t="shared" ca="1" si="0"/>
        <v>0</v>
      </c>
      <c r="G14" s="22">
        <f t="shared" si="1"/>
        <v>3745000</v>
      </c>
      <c r="H14" s="28" t="s">
        <v>659</v>
      </c>
      <c r="I14" s="28">
        <v>1</v>
      </c>
      <c r="J14" s="277">
        <v>3745000</v>
      </c>
      <c r="K14" s="306">
        <f>VLOOKUP(H14,'thang luong moi'!B:I,'Bang luong (chaun)'!I14+1,0)</f>
        <v>4694625</v>
      </c>
      <c r="L14" s="315">
        <f>(K14-J14)/K14</f>
        <v>0.20227920227920229</v>
      </c>
      <c r="M14" s="77" t="e">
        <f>VLOOKUP(C14,CC!$C$5:$AJ$67,34,0)</f>
        <v>#N/A</v>
      </c>
      <c r="N14" s="22" t="e">
        <f t="shared" si="9"/>
        <v>#N/A</v>
      </c>
      <c r="O14" s="22" t="e">
        <f>VLOOKUP(C14,CC!$C$5:$AM$67,36,0)</f>
        <v>#N/A</v>
      </c>
      <c r="P14" s="22" t="e">
        <f>VLOOKUP(C14,CC!$C$5:$BS$67,69,0)</f>
        <v>#N/A</v>
      </c>
      <c r="Q14" s="22" t="e">
        <f>VLOOKUP(C14,CC!$C$5:$BT$67,70,0)</f>
        <v>#N/A</v>
      </c>
      <c r="R14" s="22" t="e">
        <f>VLOOKUP(C14,CC!$C$5:$AM$67,37,0)</f>
        <v>#N/A</v>
      </c>
      <c r="S14" s="22" t="e">
        <f>VLOOKUP(C14,CC!$C$5:$AM$67,35,0)</f>
        <v>#N/A</v>
      </c>
      <c r="T14" s="22" t="e">
        <f t="shared" si="8"/>
        <v>#N/A</v>
      </c>
      <c r="U14" s="22"/>
      <c r="V14" s="22">
        <f ca="1">IF((F14-$V$3)&gt;0,F14%*K14,0)</f>
        <v>0</v>
      </c>
      <c r="W14" s="22">
        <f ca="1">(100%-SUMIF('chuyên cần'!$C$6:$AP$31,'Bang luong (chaun)'!C14,'chuyên cần'!$AP$7:$AP$31))*$W$3</f>
        <v>300000</v>
      </c>
      <c r="X14" s="22"/>
      <c r="Y14" s="22"/>
      <c r="Z14" s="22">
        <v>1300000</v>
      </c>
      <c r="AA14" s="22"/>
      <c r="AB14" s="199">
        <v>1300000</v>
      </c>
      <c r="AC14" s="106" t="e">
        <f ca="1">T14+V14+W14+Z14+U14</f>
        <v>#N/A</v>
      </c>
      <c r="AD14" s="203">
        <f>J14+AB14</f>
        <v>5045000</v>
      </c>
      <c r="AE14" s="204">
        <f>K14+AB14</f>
        <v>5994625</v>
      </c>
      <c r="AF14" s="204">
        <v>5681650</v>
      </c>
      <c r="AG14" s="106" t="e">
        <f>'ung luong'!#REF!</f>
        <v>#REF!</v>
      </c>
      <c r="AH14" s="106">
        <f>AM14*$AH$2</f>
        <v>0</v>
      </c>
      <c r="AI14" s="106" t="e">
        <f t="shared" ca="1" si="10"/>
        <v>#N/A</v>
      </c>
      <c r="AJ14" s="106" t="e">
        <f ca="1">ROUND(AI14,-3)</f>
        <v>#N/A</v>
      </c>
      <c r="AK14" s="231"/>
    </row>
    <row r="15" spans="1:39" s="10" customFormat="1" ht="21" hidden="1" customHeight="1">
      <c r="A15" s="23" t="s">
        <v>16</v>
      </c>
      <c r="B15" s="23"/>
      <c r="C15" s="23" t="s">
        <v>17</v>
      </c>
      <c r="D15" s="23"/>
      <c r="E15" s="23"/>
      <c r="F15" s="23"/>
      <c r="G15" s="34"/>
      <c r="H15" s="29"/>
      <c r="I15" s="29"/>
      <c r="J15" s="276"/>
      <c r="K15" s="34"/>
      <c r="L15" s="34"/>
      <c r="M15" s="232"/>
      <c r="N15" s="105"/>
      <c r="O15" s="105"/>
      <c r="P15" s="105"/>
      <c r="Q15" s="105"/>
      <c r="R15" s="105"/>
      <c r="S15" s="105"/>
      <c r="T15" s="34"/>
      <c r="U15" s="34"/>
      <c r="V15" s="174"/>
      <c r="W15" s="34"/>
      <c r="X15" s="34"/>
      <c r="Y15" s="34"/>
      <c r="Z15" s="34">
        <v>0</v>
      </c>
      <c r="AA15" s="34"/>
      <c r="AB15" s="203"/>
      <c r="AC15" s="34" t="e">
        <f t="shared" ref="AC15:AH15" ca="1" si="12">SUM(AC16:AC23)</f>
        <v>#N/A</v>
      </c>
      <c r="AD15" s="203"/>
      <c r="AE15" s="203"/>
      <c r="AF15" s="203"/>
      <c r="AG15" s="34" t="e">
        <f t="shared" si="12"/>
        <v>#REF!</v>
      </c>
      <c r="AH15" s="34">
        <f t="shared" si="12"/>
        <v>348285</v>
      </c>
      <c r="AI15" s="34" t="e">
        <f ca="1">SUM(AI16:AI23)</f>
        <v>#N/A</v>
      </c>
      <c r="AJ15" s="34" t="e">
        <f ca="1">SUM(AJ16:AJ23)</f>
        <v>#N/A</v>
      </c>
      <c r="AK15" s="229"/>
      <c r="AL15" s="220"/>
      <c r="AM15" s="230"/>
    </row>
    <row r="16" spans="1:39" ht="21" customHeight="1">
      <c r="A16" s="3">
        <f>A14+1</f>
        <v>9</v>
      </c>
      <c r="B16" s="3" t="s">
        <v>168</v>
      </c>
      <c r="C16" s="3" t="s">
        <v>66</v>
      </c>
      <c r="D16" s="3" t="s">
        <v>204</v>
      </c>
      <c r="E16" s="110">
        <v>41487</v>
      </c>
      <c r="F16" s="111">
        <f>IF(E16=0,0,INT(($T$2-E16)/365))</f>
        <v>2</v>
      </c>
      <c r="G16" s="22">
        <f t="shared" si="1"/>
        <v>3745000</v>
      </c>
      <c r="H16" s="28" t="s">
        <v>209</v>
      </c>
      <c r="I16" s="28">
        <v>3</v>
      </c>
      <c r="J16" s="277">
        <v>7115500</v>
      </c>
      <c r="K16" s="306">
        <f>VLOOKUP(H16,'thang luong moi'!B:I,'Bang luong (chaun)'!I16+1,0)</f>
        <v>8025000</v>
      </c>
      <c r="L16" s="315">
        <f t="shared" ref="L16:L23" si="13">(K16-J16)/K16</f>
        <v>0.11333333333333333</v>
      </c>
      <c r="M16" s="77" t="e">
        <f>VLOOKUP(C16,CC!$C$5:$AJ$67,34,0)</f>
        <v>#N/A</v>
      </c>
      <c r="N16" s="22" t="e">
        <f t="shared" si="9"/>
        <v>#N/A</v>
      </c>
      <c r="O16" s="22" t="e">
        <f>VLOOKUP(C16,CC!$C$5:$AM$67,36,0)</f>
        <v>#N/A</v>
      </c>
      <c r="P16" s="22" t="e">
        <f>VLOOKUP(C16,CC!$C$5:$BS$67,69,0)</f>
        <v>#N/A</v>
      </c>
      <c r="Q16" s="22" t="e">
        <f>VLOOKUP(C16,CC!$C$5:$BT$67,70,0)</f>
        <v>#N/A</v>
      </c>
      <c r="R16" s="22" t="e">
        <f>VLOOKUP(C16,CC!$C$5:$AM$67,37,0)</f>
        <v>#N/A</v>
      </c>
      <c r="S16" s="22" t="e">
        <f>VLOOKUP(C16,CC!$C$5:$AM$67,35,0)</f>
        <v>#N/A</v>
      </c>
      <c r="T16" s="22" t="e">
        <f t="shared" si="8"/>
        <v>#N/A</v>
      </c>
      <c r="U16" s="22"/>
      <c r="V16" s="22">
        <f t="shared" ref="V16:V23" si="14">IF((F16-$V$3)&gt;0,F16%*K16,0)</f>
        <v>160500</v>
      </c>
      <c r="W16" s="22">
        <f ca="1">(100%-SUMIF('chuyên cần'!$C$6:$AP$31,'Bang luong (chaun)'!C16,'chuyên cần'!$AP$7:$AP$31))*$W$3</f>
        <v>300000</v>
      </c>
      <c r="X16" s="22"/>
      <c r="Y16" s="22"/>
      <c r="Z16" s="22">
        <v>1107690</v>
      </c>
      <c r="AA16" s="22"/>
      <c r="AB16" s="199">
        <v>1250000</v>
      </c>
      <c r="AC16" s="106" t="e">
        <f t="shared" ref="AC16:AC23" ca="1" si="15">T16+V16+W16+Z16+U16</f>
        <v>#N/A</v>
      </c>
      <c r="AD16" s="203">
        <f t="shared" ref="AD16:AD23" si="16">J16+AB16</f>
        <v>8365500</v>
      </c>
      <c r="AE16" s="204">
        <f t="shared" ref="AE16:AE23" si="17">K16+AB16</f>
        <v>9275000</v>
      </c>
      <c r="AF16" s="204">
        <v>8740000</v>
      </c>
      <c r="AG16" s="106" t="e">
        <f>'ung luong'!#REF!</f>
        <v>#REF!</v>
      </c>
      <c r="AH16" s="106">
        <f t="shared" ref="AH16:AH23" si="18">AM16*$AH$2</f>
        <v>348285</v>
      </c>
      <c r="AI16" s="106" t="e">
        <f t="shared" ca="1" si="10"/>
        <v>#N/A</v>
      </c>
      <c r="AJ16" s="106" t="e">
        <f t="shared" ca="1" si="11"/>
        <v>#N/A</v>
      </c>
      <c r="AK16" s="231"/>
      <c r="AM16" s="220">
        <v>3317000</v>
      </c>
    </row>
    <row r="17" spans="1:39" ht="21" customHeight="1">
      <c r="A17" s="3">
        <f t="shared" ref="A17:A23" si="19">A16+1</f>
        <v>10</v>
      </c>
      <c r="B17" s="3" t="s">
        <v>169</v>
      </c>
      <c r="C17" s="3" t="s">
        <v>61</v>
      </c>
      <c r="D17" s="3" t="s">
        <v>205</v>
      </c>
      <c r="E17" s="110">
        <v>42114</v>
      </c>
      <c r="F17" s="111">
        <f t="shared" ref="F17:F79" si="20">IF(E17=0,0,INT(($T$2-E17)/365))</f>
        <v>0</v>
      </c>
      <c r="G17" s="22">
        <f t="shared" si="1"/>
        <v>3745000</v>
      </c>
      <c r="H17" s="28" t="s">
        <v>209</v>
      </c>
      <c r="I17" s="28">
        <v>3</v>
      </c>
      <c r="J17" s="277">
        <v>7115500</v>
      </c>
      <c r="K17" s="306">
        <f>VLOOKUP(H17,'thang luong moi'!B:I,'Bang luong (chaun)'!I17+1,0)</f>
        <v>8025000</v>
      </c>
      <c r="L17" s="315">
        <f t="shared" si="13"/>
        <v>0.11333333333333333</v>
      </c>
      <c r="M17" s="77" t="e">
        <f>VLOOKUP(C17,CC!$C$5:$AJ$67,34,0)</f>
        <v>#N/A</v>
      </c>
      <c r="N17" s="22" t="e">
        <f t="shared" si="9"/>
        <v>#N/A</v>
      </c>
      <c r="O17" s="22" t="e">
        <f>VLOOKUP(C17,CC!$C$5:$AM$67,36,0)</f>
        <v>#N/A</v>
      </c>
      <c r="P17" s="22" t="e">
        <f>VLOOKUP(C17,CC!$C$5:$BS$67,69,0)</f>
        <v>#N/A</v>
      </c>
      <c r="Q17" s="22" t="e">
        <f>VLOOKUP(C17,CC!$C$5:$BT$67,70,0)</f>
        <v>#N/A</v>
      </c>
      <c r="R17" s="22" t="e">
        <f>VLOOKUP(C17,CC!$C$5:$AM$67,37,0)</f>
        <v>#N/A</v>
      </c>
      <c r="S17" s="22" t="e">
        <f>VLOOKUP(C17,CC!$C$5:$AM$67,35,0)</f>
        <v>#N/A</v>
      </c>
      <c r="T17" s="22" t="e">
        <f t="shared" si="8"/>
        <v>#N/A</v>
      </c>
      <c r="U17" s="22"/>
      <c r="V17" s="22">
        <f t="shared" si="14"/>
        <v>0</v>
      </c>
      <c r="W17" s="22">
        <f ca="1">(100%-SUMIF('chuyên cần'!$C$6:$AP$31,'Bang luong (chaun)'!C17,'chuyên cần'!$AP$7:$AP$31))*$W$3</f>
        <v>300000</v>
      </c>
      <c r="X17" s="22"/>
      <c r="Y17" s="22"/>
      <c r="Z17" s="22">
        <v>1200000</v>
      </c>
      <c r="AA17" s="22"/>
      <c r="AB17" s="199">
        <v>1275000</v>
      </c>
      <c r="AC17" s="106" t="e">
        <f t="shared" ca="1" si="15"/>
        <v>#N/A</v>
      </c>
      <c r="AD17" s="203">
        <f t="shared" si="16"/>
        <v>8390500</v>
      </c>
      <c r="AE17" s="204">
        <f t="shared" si="17"/>
        <v>9300000</v>
      </c>
      <c r="AF17" s="204">
        <v>8765000</v>
      </c>
      <c r="AG17" s="106" t="e">
        <f>'ung luong'!#REF!</f>
        <v>#REF!</v>
      </c>
      <c r="AH17" s="106">
        <f t="shared" si="18"/>
        <v>0</v>
      </c>
      <c r="AI17" s="106" t="e">
        <f t="shared" ca="1" si="10"/>
        <v>#N/A</v>
      </c>
      <c r="AJ17" s="106" t="e">
        <f t="shared" ca="1" si="11"/>
        <v>#N/A</v>
      </c>
      <c r="AK17" s="231"/>
    </row>
    <row r="18" spans="1:39" ht="21" customHeight="1">
      <c r="A18" s="3">
        <f t="shared" si="19"/>
        <v>11</v>
      </c>
      <c r="B18" s="3" t="s">
        <v>499</v>
      </c>
      <c r="C18" s="3" t="s">
        <v>547</v>
      </c>
      <c r="D18" s="3" t="s">
        <v>548</v>
      </c>
      <c r="E18" s="110">
        <v>42248</v>
      </c>
      <c r="F18" s="111">
        <f t="shared" si="20"/>
        <v>0</v>
      </c>
      <c r="G18" s="22">
        <f t="shared" si="1"/>
        <v>3745000</v>
      </c>
      <c r="H18" s="28" t="s">
        <v>210</v>
      </c>
      <c r="I18" s="28">
        <v>1</v>
      </c>
      <c r="J18" s="277">
        <v>3745000</v>
      </c>
      <c r="K18" s="306">
        <f>VLOOKUP(H18,'thang luong moi'!B:I,'Bang luong (chaun)'!I18+1,0)</f>
        <v>5216250</v>
      </c>
      <c r="L18" s="315">
        <f t="shared" si="13"/>
        <v>0.28205128205128205</v>
      </c>
      <c r="M18" s="77" t="e">
        <f>VLOOKUP(C18,CC!$C$5:$AJ$67,34,0)</f>
        <v>#N/A</v>
      </c>
      <c r="N18" s="22" t="e">
        <f t="shared" ref="N18:N23" si="21">K18/26*M18</f>
        <v>#N/A</v>
      </c>
      <c r="O18" s="22" t="e">
        <f>VLOOKUP(C18,CC!$C$5:$AM$67,36,0)</f>
        <v>#N/A</v>
      </c>
      <c r="P18" s="22" t="e">
        <f>VLOOKUP(C18,CC!$C$5:$BS$67,69,0)</f>
        <v>#N/A</v>
      </c>
      <c r="Q18" s="22" t="e">
        <f>VLOOKUP(C18,CC!$C$5:$BT$67,70,0)</f>
        <v>#N/A</v>
      </c>
      <c r="R18" s="22" t="e">
        <f>VLOOKUP(C18,CC!$C$5:$AM$67,37,0)</f>
        <v>#N/A</v>
      </c>
      <c r="S18" s="22" t="e">
        <f>VLOOKUP(C18,CC!$C$5:$AM$67,35,0)</f>
        <v>#N/A</v>
      </c>
      <c r="T18" s="22" t="e">
        <f t="shared" ref="T18:T23" si="22">((K18/26)*M18)+(O18*(K18/26))+((P18/8)*1.5*(K18/26))+((Q18/8)*2*K18/26)+(S18*3*(K18/26)+(K18/26)*R18)</f>
        <v>#N/A</v>
      </c>
      <c r="U18" s="22"/>
      <c r="V18" s="22">
        <f t="shared" si="14"/>
        <v>0</v>
      </c>
      <c r="W18" s="22">
        <f ca="1">(100%-SUMIF('chuyên cần'!$C$6:$AP$31,'Bang luong (chaun)'!C18,'chuyên cần'!$AP$7:$AP$31))*$W$3</f>
        <v>300000</v>
      </c>
      <c r="X18" s="22"/>
      <c r="Y18" s="22"/>
      <c r="Z18" s="22">
        <v>1200001</v>
      </c>
      <c r="AA18" s="22"/>
      <c r="AB18" s="199">
        <v>1200001</v>
      </c>
      <c r="AC18" s="106" t="e">
        <f t="shared" ca="1" si="15"/>
        <v>#N/A</v>
      </c>
      <c r="AD18" s="203">
        <f t="shared" si="16"/>
        <v>4945001</v>
      </c>
      <c r="AE18" s="204">
        <f t="shared" si="17"/>
        <v>6416251</v>
      </c>
      <c r="AF18" s="204">
        <v>6068501</v>
      </c>
      <c r="AG18" s="106" t="e">
        <f>'ung luong'!#REF!</f>
        <v>#REF!</v>
      </c>
      <c r="AH18" s="106">
        <f t="shared" si="18"/>
        <v>0</v>
      </c>
      <c r="AI18" s="106" t="e">
        <f t="shared" ref="AI18:AI23" ca="1" si="23">AC18-AG18-AH18</f>
        <v>#N/A</v>
      </c>
      <c r="AJ18" s="106" t="e">
        <f ca="1">ROUND(AI18,-3)</f>
        <v>#N/A</v>
      </c>
      <c r="AK18" s="231"/>
    </row>
    <row r="19" spans="1:39" ht="21" customHeight="1">
      <c r="A19" s="3">
        <f t="shared" si="19"/>
        <v>12</v>
      </c>
      <c r="B19" s="250" t="s">
        <v>570</v>
      </c>
      <c r="C19" s="250" t="s">
        <v>573</v>
      </c>
      <c r="D19" s="250" t="s">
        <v>574</v>
      </c>
      <c r="E19" s="252">
        <v>42380</v>
      </c>
      <c r="F19" s="111">
        <f t="shared" si="20"/>
        <v>0</v>
      </c>
      <c r="G19" s="249">
        <f t="shared" si="1"/>
        <v>3745000</v>
      </c>
      <c r="H19" s="251" t="s">
        <v>210</v>
      </c>
      <c r="I19" s="251">
        <v>1</v>
      </c>
      <c r="J19" s="277">
        <v>3745000</v>
      </c>
      <c r="K19" s="306">
        <f>VLOOKUP(H19,'thang luong moi'!B:I,'Bang luong (chaun)'!I19+1,0)</f>
        <v>5216250</v>
      </c>
      <c r="L19" s="315">
        <f t="shared" si="13"/>
        <v>0.28205128205128205</v>
      </c>
      <c r="M19" s="259" t="e">
        <f>VLOOKUP(C19,CC!$C$5:$AJ$67,34,0)</f>
        <v>#N/A</v>
      </c>
      <c r="N19" s="249" t="e">
        <f t="shared" si="21"/>
        <v>#N/A</v>
      </c>
      <c r="O19" s="249" t="e">
        <f>VLOOKUP(C19,CC!$C$5:$AM$67,36,0)</f>
        <v>#N/A</v>
      </c>
      <c r="P19" s="249" t="e">
        <f>VLOOKUP(C19,CC!$C$5:$BS$67,69,0)</f>
        <v>#N/A</v>
      </c>
      <c r="Q19" s="249" t="e">
        <f>VLOOKUP(C19,CC!$C$5:$BT$67,70,0)</f>
        <v>#N/A</v>
      </c>
      <c r="R19" s="249" t="e">
        <f>VLOOKUP(C19,CC!$C$5:$AM$67,37,0)</f>
        <v>#N/A</v>
      </c>
      <c r="S19" s="249" t="e">
        <f>VLOOKUP(C19,CC!$C$5:$AM$67,35,0)</f>
        <v>#N/A</v>
      </c>
      <c r="T19" s="249" t="e">
        <f t="shared" si="22"/>
        <v>#N/A</v>
      </c>
      <c r="U19" s="249"/>
      <c r="V19" s="249">
        <f t="shared" si="14"/>
        <v>0</v>
      </c>
      <c r="W19" s="249">
        <f ca="1">(100%-SUMIF('chuyên cần'!$C$6:$AP$31,'Bang luong (chaun)'!C19,'chuyên cần'!$AP$7:$AP$31))*$W$3</f>
        <v>300000</v>
      </c>
      <c r="X19" s="249"/>
      <c r="Y19" s="249"/>
      <c r="Z19" s="249">
        <v>2255000</v>
      </c>
      <c r="AA19" s="249"/>
      <c r="AB19" s="199">
        <v>2255000</v>
      </c>
      <c r="AC19" s="265" t="e">
        <f t="shared" ca="1" si="15"/>
        <v>#N/A</v>
      </c>
      <c r="AD19" s="203">
        <f t="shared" si="16"/>
        <v>6000000</v>
      </c>
      <c r="AE19" s="204">
        <f t="shared" si="17"/>
        <v>7471250</v>
      </c>
      <c r="AF19" s="204">
        <v>7123500</v>
      </c>
      <c r="AG19" s="265" t="e">
        <f>'ung luong'!#REF!</f>
        <v>#REF!</v>
      </c>
      <c r="AH19" s="265">
        <f t="shared" si="18"/>
        <v>0</v>
      </c>
      <c r="AI19" s="265" t="e">
        <f t="shared" ca="1" si="23"/>
        <v>#N/A</v>
      </c>
      <c r="AJ19" s="265" t="e">
        <f ca="1">ROUND(AI19,-3)*0.85</f>
        <v>#N/A</v>
      </c>
      <c r="AK19" s="266"/>
    </row>
    <row r="20" spans="1:39" ht="21" customHeight="1">
      <c r="A20" s="3">
        <f t="shared" si="19"/>
        <v>13</v>
      </c>
      <c r="B20" s="250" t="s">
        <v>583</v>
      </c>
      <c r="C20" s="250" t="s">
        <v>579</v>
      </c>
      <c r="D20" s="250" t="s">
        <v>574</v>
      </c>
      <c r="E20" s="252">
        <v>42387</v>
      </c>
      <c r="F20" s="111">
        <f t="shared" si="20"/>
        <v>0</v>
      </c>
      <c r="G20" s="249">
        <f t="shared" si="1"/>
        <v>3745000</v>
      </c>
      <c r="H20" s="251" t="s">
        <v>210</v>
      </c>
      <c r="I20" s="251">
        <v>1</v>
      </c>
      <c r="J20" s="277">
        <v>3745000</v>
      </c>
      <c r="K20" s="306">
        <f>VLOOKUP(H20,'thang luong moi'!B:I,'Bang luong (chaun)'!I20+1,0)</f>
        <v>5216250</v>
      </c>
      <c r="L20" s="315">
        <f t="shared" si="13"/>
        <v>0.28205128205128205</v>
      </c>
      <c r="M20" s="259" t="e">
        <f>VLOOKUP(C20,CC!$C$5:$AJ$67,34,0)</f>
        <v>#N/A</v>
      </c>
      <c r="N20" s="249" t="e">
        <f t="shared" si="21"/>
        <v>#N/A</v>
      </c>
      <c r="O20" s="249" t="e">
        <f>VLOOKUP(C20,CC!$C$5:$AM$67,36,0)</f>
        <v>#N/A</v>
      </c>
      <c r="P20" s="249" t="e">
        <f>VLOOKUP(C20,CC!$C$5:$BS$67,69,0)</f>
        <v>#N/A</v>
      </c>
      <c r="Q20" s="249" t="e">
        <f>VLOOKUP(C20,CC!$C$5:$BT$67,70,0)</f>
        <v>#N/A</v>
      </c>
      <c r="R20" s="249" t="e">
        <f>VLOOKUP(C20,CC!$C$5:$AM$67,37,0)</f>
        <v>#N/A</v>
      </c>
      <c r="S20" s="249" t="e">
        <f>VLOOKUP(C20,CC!$C$5:$AM$67,35,0)</f>
        <v>#N/A</v>
      </c>
      <c r="T20" s="249" t="e">
        <f t="shared" si="22"/>
        <v>#N/A</v>
      </c>
      <c r="U20" s="249"/>
      <c r="V20" s="249">
        <f t="shared" si="14"/>
        <v>0</v>
      </c>
      <c r="W20" s="249">
        <f ca="1">(100%-SUMIF('chuyên cần'!$C$6:$AP$31,'Bang luong (chaun)'!C20,'chuyên cần'!$AP$7:$AP$31))*$W$3</f>
        <v>300000</v>
      </c>
      <c r="X20" s="249"/>
      <c r="Y20" s="249"/>
      <c r="Z20" s="249">
        <v>1255000</v>
      </c>
      <c r="AA20" s="249"/>
      <c r="AB20" s="199">
        <v>1255000</v>
      </c>
      <c r="AC20" s="265" t="e">
        <f t="shared" ca="1" si="15"/>
        <v>#N/A</v>
      </c>
      <c r="AD20" s="203">
        <f t="shared" si="16"/>
        <v>5000000</v>
      </c>
      <c r="AE20" s="204">
        <f t="shared" si="17"/>
        <v>6471250</v>
      </c>
      <c r="AF20" s="204">
        <v>6123500</v>
      </c>
      <c r="AG20" s="265" t="e">
        <f>'ung luong'!#REF!</f>
        <v>#REF!</v>
      </c>
      <c r="AH20" s="265">
        <f t="shared" si="18"/>
        <v>0</v>
      </c>
      <c r="AI20" s="265" t="e">
        <f t="shared" ca="1" si="23"/>
        <v>#N/A</v>
      </c>
      <c r="AJ20" s="265" t="e">
        <f ca="1">ROUND(AI20,-3)</f>
        <v>#N/A</v>
      </c>
      <c r="AK20" s="266"/>
    </row>
    <row r="21" spans="1:39" ht="21" customHeight="1">
      <c r="A21" s="3">
        <f t="shared" si="19"/>
        <v>14</v>
      </c>
      <c r="B21" s="250" t="s">
        <v>584</v>
      </c>
      <c r="C21" s="250" t="s">
        <v>580</v>
      </c>
      <c r="D21" s="250" t="s">
        <v>574</v>
      </c>
      <c r="E21" s="252">
        <v>42387</v>
      </c>
      <c r="F21" s="111">
        <f t="shared" si="20"/>
        <v>0</v>
      </c>
      <c r="G21" s="249">
        <f t="shared" si="1"/>
        <v>3745000</v>
      </c>
      <c r="H21" s="251" t="s">
        <v>210</v>
      </c>
      <c r="I21" s="251">
        <v>1</v>
      </c>
      <c r="J21" s="277">
        <v>3745000</v>
      </c>
      <c r="K21" s="306">
        <f>VLOOKUP(H21,'thang luong moi'!B:I,'Bang luong (chaun)'!I21+1,0)</f>
        <v>5216250</v>
      </c>
      <c r="L21" s="315">
        <f t="shared" si="13"/>
        <v>0.28205128205128205</v>
      </c>
      <c r="M21" s="259" t="e">
        <f>VLOOKUP(C21,CC!$C$5:$AJ$67,34,0)</f>
        <v>#N/A</v>
      </c>
      <c r="N21" s="249" t="e">
        <f t="shared" si="21"/>
        <v>#N/A</v>
      </c>
      <c r="O21" s="249" t="e">
        <f>VLOOKUP(C21,CC!$C$5:$AM$67,36,0)</f>
        <v>#N/A</v>
      </c>
      <c r="P21" s="249" t="e">
        <f>VLOOKUP(C21,CC!$C$5:$BS$67,69,0)</f>
        <v>#N/A</v>
      </c>
      <c r="Q21" s="249" t="e">
        <f>VLOOKUP(C21,CC!$C$5:$BT$67,70,0)</f>
        <v>#N/A</v>
      </c>
      <c r="R21" s="249" t="e">
        <f>VLOOKUP(C21,CC!$C$5:$AM$67,37,0)</f>
        <v>#N/A</v>
      </c>
      <c r="S21" s="249" t="e">
        <f>VLOOKUP(C21,CC!$C$5:$AM$67,35,0)</f>
        <v>#N/A</v>
      </c>
      <c r="T21" s="249" t="e">
        <f t="shared" si="22"/>
        <v>#N/A</v>
      </c>
      <c r="U21" s="249"/>
      <c r="V21" s="249">
        <f t="shared" si="14"/>
        <v>0</v>
      </c>
      <c r="W21" s="249">
        <f ca="1">(100%-SUMIF('chuyên cần'!$C$6:$AP$31,'Bang luong (chaun)'!C21,'chuyên cần'!$AP$7:$AP$31))*$W$3</f>
        <v>300000</v>
      </c>
      <c r="X21" s="249"/>
      <c r="Y21" s="249"/>
      <c r="Z21" s="249">
        <v>1255000</v>
      </c>
      <c r="AA21" s="249"/>
      <c r="AB21" s="199">
        <v>1255000</v>
      </c>
      <c r="AC21" s="265" t="e">
        <f t="shared" ca="1" si="15"/>
        <v>#N/A</v>
      </c>
      <c r="AD21" s="203">
        <f t="shared" si="16"/>
        <v>5000000</v>
      </c>
      <c r="AE21" s="204">
        <f t="shared" si="17"/>
        <v>6471250</v>
      </c>
      <c r="AF21" s="204">
        <v>6123500</v>
      </c>
      <c r="AG21" s="265" t="e">
        <f>'ung luong'!#REF!</f>
        <v>#REF!</v>
      </c>
      <c r="AH21" s="265">
        <f t="shared" si="18"/>
        <v>0</v>
      </c>
      <c r="AI21" s="265" t="e">
        <f t="shared" ca="1" si="23"/>
        <v>#N/A</v>
      </c>
      <c r="AJ21" s="265" t="e">
        <f ca="1">ROUND(AI21,-3)</f>
        <v>#N/A</v>
      </c>
      <c r="AK21" s="266"/>
    </row>
    <row r="22" spans="1:39" ht="21" customHeight="1">
      <c r="A22" s="3">
        <f t="shared" si="19"/>
        <v>15</v>
      </c>
      <c r="B22" s="250" t="s">
        <v>585</v>
      </c>
      <c r="C22" s="250" t="s">
        <v>581</v>
      </c>
      <c r="D22" s="250" t="s">
        <v>582</v>
      </c>
      <c r="E22" s="252">
        <v>42388</v>
      </c>
      <c r="F22" s="111">
        <f t="shared" si="20"/>
        <v>0</v>
      </c>
      <c r="G22" s="249">
        <f t="shared" si="1"/>
        <v>3745000</v>
      </c>
      <c r="H22" s="251" t="s">
        <v>659</v>
      </c>
      <c r="I22" s="251">
        <v>1</v>
      </c>
      <c r="J22" s="277">
        <v>3745000</v>
      </c>
      <c r="K22" s="306">
        <f>VLOOKUP(H22,'thang luong moi'!B:I,'Bang luong (chaun)'!I22+1,0)</f>
        <v>4694625</v>
      </c>
      <c r="L22" s="315">
        <f t="shared" si="13"/>
        <v>0.20227920227920229</v>
      </c>
      <c r="M22" s="259" t="e">
        <f>VLOOKUP(C22,CC!$C$5:$AJ$67,34,0)</f>
        <v>#N/A</v>
      </c>
      <c r="N22" s="249" t="e">
        <f t="shared" si="21"/>
        <v>#N/A</v>
      </c>
      <c r="O22" s="249" t="e">
        <f>VLOOKUP(C22,CC!$C$5:$AM$67,36,0)</f>
        <v>#N/A</v>
      </c>
      <c r="P22" s="249" t="e">
        <f>VLOOKUP(C22,CC!$C$5:$BS$67,69,0)</f>
        <v>#N/A</v>
      </c>
      <c r="Q22" s="249" t="e">
        <f>VLOOKUP(C22,CC!$C$5:$BT$67,70,0)</f>
        <v>#N/A</v>
      </c>
      <c r="R22" s="249" t="e">
        <f>VLOOKUP(C22,CC!$C$5:$AM$67,37,0)</f>
        <v>#N/A</v>
      </c>
      <c r="S22" s="249" t="e">
        <f>VLOOKUP(C22,CC!$C$5:$AM$67,35,0)</f>
        <v>#N/A</v>
      </c>
      <c r="T22" s="249" t="e">
        <f t="shared" si="22"/>
        <v>#N/A</v>
      </c>
      <c r="U22" s="249"/>
      <c r="V22" s="249">
        <f t="shared" si="14"/>
        <v>0</v>
      </c>
      <c r="W22" s="249">
        <f ca="1">(100%-SUMIF('chuyên cần'!$C$6:$AP$31,'Bang luong (chaun)'!C22,'chuyên cần'!$AP$7:$AP$31))*$W$3</f>
        <v>300000</v>
      </c>
      <c r="X22" s="249"/>
      <c r="Y22" s="249"/>
      <c r="Z22" s="249">
        <v>1255000</v>
      </c>
      <c r="AA22" s="249"/>
      <c r="AB22" s="199">
        <v>1255000</v>
      </c>
      <c r="AC22" s="265" t="e">
        <f t="shared" ca="1" si="15"/>
        <v>#N/A</v>
      </c>
      <c r="AD22" s="203">
        <f t="shared" si="16"/>
        <v>5000000</v>
      </c>
      <c r="AE22" s="204">
        <f t="shared" si="17"/>
        <v>5949625</v>
      </c>
      <c r="AF22" s="204">
        <v>5636650</v>
      </c>
      <c r="AG22" s="265" t="e">
        <f>'ung luong'!#REF!</f>
        <v>#REF!</v>
      </c>
      <c r="AH22" s="265">
        <f t="shared" si="18"/>
        <v>0</v>
      </c>
      <c r="AI22" s="265" t="e">
        <f t="shared" ca="1" si="23"/>
        <v>#N/A</v>
      </c>
      <c r="AJ22" s="265" t="e">
        <f ca="1">ROUND(AI22,-3)</f>
        <v>#N/A</v>
      </c>
      <c r="AK22" s="266"/>
    </row>
    <row r="23" spans="1:39" ht="21" customHeight="1">
      <c r="A23" s="3">
        <f t="shared" si="19"/>
        <v>16</v>
      </c>
      <c r="B23" s="250" t="s">
        <v>586</v>
      </c>
      <c r="C23" s="250" t="s">
        <v>587</v>
      </c>
      <c r="D23" s="250" t="s">
        <v>582</v>
      </c>
      <c r="E23" s="252">
        <v>42389</v>
      </c>
      <c r="F23" s="111">
        <f t="shared" si="20"/>
        <v>0</v>
      </c>
      <c r="G23" s="249">
        <f t="shared" si="1"/>
        <v>3745000</v>
      </c>
      <c r="H23" s="251" t="s">
        <v>210</v>
      </c>
      <c r="I23" s="251">
        <v>1</v>
      </c>
      <c r="J23" s="277">
        <v>3745000</v>
      </c>
      <c r="K23" s="306">
        <f>VLOOKUP(H23,'thang luong moi'!B:I,'Bang luong (chaun)'!I23+1,0)</f>
        <v>5216250</v>
      </c>
      <c r="L23" s="315">
        <f t="shared" si="13"/>
        <v>0.28205128205128205</v>
      </c>
      <c r="M23" s="259" t="e">
        <f>VLOOKUP(C23,CC!$C$5:$AJ$67,34,0)</f>
        <v>#N/A</v>
      </c>
      <c r="N23" s="249" t="e">
        <f t="shared" si="21"/>
        <v>#N/A</v>
      </c>
      <c r="O23" s="249" t="e">
        <f>VLOOKUP(C23,CC!$C$5:$AM$67,36,0)</f>
        <v>#N/A</v>
      </c>
      <c r="P23" s="249" t="e">
        <f>VLOOKUP(C23,CC!$C$5:$BS$67,69,0)</f>
        <v>#N/A</v>
      </c>
      <c r="Q23" s="249" t="e">
        <f>VLOOKUP(C23,CC!$C$5:$BT$67,70,0)</f>
        <v>#N/A</v>
      </c>
      <c r="R23" s="249" t="e">
        <f>VLOOKUP(C23,CC!$C$5:$AM$67,37,0)</f>
        <v>#N/A</v>
      </c>
      <c r="S23" s="249" t="e">
        <f>VLOOKUP(C23,CC!$C$5:$AM$67,35,0)</f>
        <v>#N/A</v>
      </c>
      <c r="T23" s="249" t="e">
        <f t="shared" si="22"/>
        <v>#N/A</v>
      </c>
      <c r="U23" s="249"/>
      <c r="V23" s="249">
        <f t="shared" si="14"/>
        <v>0</v>
      </c>
      <c r="W23" s="249">
        <f ca="1">(100%-SUMIF('chuyên cần'!$C$6:$AP$31,'Bang luong (chaun)'!C23,'chuyên cần'!$AP$7:$AP$31))*$W$3</f>
        <v>300000</v>
      </c>
      <c r="X23" s="249"/>
      <c r="Y23" s="249"/>
      <c r="Z23" s="249">
        <v>1955000</v>
      </c>
      <c r="AA23" s="249"/>
      <c r="AB23" s="199">
        <v>1955000</v>
      </c>
      <c r="AC23" s="265" t="e">
        <f t="shared" ca="1" si="15"/>
        <v>#N/A</v>
      </c>
      <c r="AD23" s="203">
        <f t="shared" si="16"/>
        <v>5700000</v>
      </c>
      <c r="AE23" s="204">
        <f t="shared" si="17"/>
        <v>7171250</v>
      </c>
      <c r="AF23" s="204">
        <v>6823500</v>
      </c>
      <c r="AG23" s="265">
        <f>'ung luong'!F98</f>
        <v>4000000</v>
      </c>
      <c r="AH23" s="265">
        <f t="shared" si="18"/>
        <v>0</v>
      </c>
      <c r="AI23" s="265" t="e">
        <f t="shared" ca="1" si="23"/>
        <v>#N/A</v>
      </c>
      <c r="AJ23" s="265" t="e">
        <f ca="1">ROUND(AI23,-3)</f>
        <v>#N/A</v>
      </c>
      <c r="AK23" s="266"/>
    </row>
    <row r="24" spans="1:39" s="10" customFormat="1" ht="21" hidden="1" customHeight="1">
      <c r="A24" s="23" t="s">
        <v>18</v>
      </c>
      <c r="B24" s="23"/>
      <c r="C24" s="23" t="s">
        <v>19</v>
      </c>
      <c r="D24" s="23"/>
      <c r="E24" s="23"/>
      <c r="F24" s="23"/>
      <c r="G24" s="25"/>
      <c r="H24" s="29"/>
      <c r="I24" s="29"/>
      <c r="J24" s="276"/>
      <c r="K24" s="34"/>
      <c r="L24" s="34"/>
      <c r="M24" s="232"/>
      <c r="N24" s="105"/>
      <c r="O24" s="105"/>
      <c r="P24" s="105"/>
      <c r="Q24" s="105"/>
      <c r="R24" s="105"/>
      <c r="S24" s="105"/>
      <c r="T24" s="34"/>
      <c r="U24" s="34"/>
      <c r="V24" s="174"/>
      <c r="W24" s="34"/>
      <c r="X24" s="34"/>
      <c r="Y24" s="34"/>
      <c r="Z24" s="34">
        <v>0</v>
      </c>
      <c r="AA24" s="34"/>
      <c r="AB24" s="203"/>
      <c r="AC24" s="34" t="e">
        <f ca="1">SUM(AC25:AC40)</f>
        <v>#N/A</v>
      </c>
      <c r="AD24" s="203"/>
      <c r="AE24" s="203"/>
      <c r="AF24" s="203"/>
      <c r="AG24" s="34" t="e">
        <f>SUM(AG25:AG40)</f>
        <v>#REF!</v>
      </c>
      <c r="AH24" s="34">
        <f>SUM(AH25:AH40)</f>
        <v>3155070</v>
      </c>
      <c r="AI24" s="34" t="e">
        <f ca="1">SUM(AI25:AI40)</f>
        <v>#N/A</v>
      </c>
      <c r="AJ24" s="34" t="e">
        <f ca="1">SUM(AJ25:AJ40)</f>
        <v>#N/A</v>
      </c>
      <c r="AK24" s="229"/>
      <c r="AL24" s="220"/>
      <c r="AM24" s="230"/>
    </row>
    <row r="25" spans="1:39" ht="21" customHeight="1">
      <c r="A25" s="3">
        <f>A23+1</f>
        <v>17</v>
      </c>
      <c r="B25" s="3" t="s">
        <v>170</v>
      </c>
      <c r="C25" s="3" t="s">
        <v>67</v>
      </c>
      <c r="D25" s="3" t="s">
        <v>550</v>
      </c>
      <c r="E25" s="110">
        <v>41108</v>
      </c>
      <c r="F25" s="111">
        <f t="shared" si="20"/>
        <v>3</v>
      </c>
      <c r="G25" s="22">
        <f t="shared" si="1"/>
        <v>3745000</v>
      </c>
      <c r="H25" s="28" t="s">
        <v>210</v>
      </c>
      <c r="I25" s="28">
        <v>1</v>
      </c>
      <c r="J25" s="277">
        <v>3745000</v>
      </c>
      <c r="K25" s="306">
        <f>VLOOKUP(H25,'thang luong moi'!B:I,'Bang luong (chaun)'!I25+1,0)</f>
        <v>5216250</v>
      </c>
      <c r="L25" s="315">
        <f t="shared" ref="L25:L40" si="24">(K25-J25)/K25</f>
        <v>0.28205128205128205</v>
      </c>
      <c r="M25" s="77" t="e">
        <f>VLOOKUP(C25,CC!$C$5:$AJ$67,34,0)</f>
        <v>#N/A</v>
      </c>
      <c r="N25" s="22" t="e">
        <f t="shared" si="9"/>
        <v>#N/A</v>
      </c>
      <c r="O25" s="22" t="e">
        <f>VLOOKUP(C25,CC!$C$5:$AM$67,36,0)</f>
        <v>#N/A</v>
      </c>
      <c r="P25" s="22" t="e">
        <f>VLOOKUP(C25,CC!$C$5:$BS$67,69,0)</f>
        <v>#N/A</v>
      </c>
      <c r="Q25" s="22" t="e">
        <f>VLOOKUP(C25,CC!$C$5:$BT$67,70,0)</f>
        <v>#N/A</v>
      </c>
      <c r="R25" s="22" t="e">
        <f>VLOOKUP(C25,CC!$C$5:$AM$67,37,0)</f>
        <v>#N/A</v>
      </c>
      <c r="S25" s="22" t="e">
        <f>VLOOKUP(C25,CC!$C$5:$AM$67,35,0)</f>
        <v>#N/A</v>
      </c>
      <c r="T25" s="22" t="e">
        <f t="shared" si="8"/>
        <v>#N/A</v>
      </c>
      <c r="U25" s="22" t="e">
        <f>VLOOKUP(C25,'Công tổng'!$C$53:$BY$67,66,0)-N25</f>
        <v>#N/A</v>
      </c>
      <c r="V25" s="22">
        <f t="shared" ref="V25:V38" si="25">IF((F25-$V$3)&gt;0,F25%*K25,0)</f>
        <v>156487.5</v>
      </c>
      <c r="W25" s="22">
        <f ca="1">(100%-SUMIF('chuyên cần'!$C$6:$AP$31,'Bang luong (chaun)'!C25,'chuyên cần'!$AP$7:$AP$31))*$W$3</f>
        <v>300000</v>
      </c>
      <c r="X25" s="22"/>
      <c r="Y25" s="22"/>
      <c r="Z25" s="22">
        <v>687650</v>
      </c>
      <c r="AA25" s="22"/>
      <c r="AB25" s="199">
        <v>1100000</v>
      </c>
      <c r="AC25" s="106" t="e">
        <f t="shared" ref="AC25:AC40" ca="1" si="26">T25+V25+W25+Z25+U25</f>
        <v>#N/A</v>
      </c>
      <c r="AD25" s="203">
        <f t="shared" ref="AD25:AD40" si="27">J25+AB25</f>
        <v>4845000</v>
      </c>
      <c r="AE25" s="204">
        <f t="shared" ref="AE25:AE40" si="28">K25+AB25</f>
        <v>6316250</v>
      </c>
      <c r="AF25" s="204">
        <v>5968500</v>
      </c>
      <c r="AG25" s="106">
        <f>'ung luong'!F127</f>
        <v>0</v>
      </c>
      <c r="AH25" s="106">
        <f t="shared" ref="AH25:AH30" si="29">AM25*$AH$2</f>
        <v>351750</v>
      </c>
      <c r="AI25" s="106" t="e">
        <f t="shared" ca="1" si="10"/>
        <v>#N/A</v>
      </c>
      <c r="AJ25" s="106" t="e">
        <f t="shared" ca="1" si="11"/>
        <v>#N/A</v>
      </c>
      <c r="AK25" s="231"/>
      <c r="AM25" s="220">
        <v>3350000</v>
      </c>
    </row>
    <row r="26" spans="1:39" ht="20.25" customHeight="1">
      <c r="A26" s="3">
        <f>A25+1</f>
        <v>18</v>
      </c>
      <c r="B26" s="3" t="s">
        <v>171</v>
      </c>
      <c r="C26" s="3" t="s">
        <v>72</v>
      </c>
      <c r="D26" s="3" t="s">
        <v>551</v>
      </c>
      <c r="E26" s="110">
        <v>41611</v>
      </c>
      <c r="F26" s="111">
        <f t="shared" si="20"/>
        <v>2</v>
      </c>
      <c r="G26" s="22">
        <f t="shared" si="1"/>
        <v>3745000</v>
      </c>
      <c r="H26" s="28" t="s">
        <v>209</v>
      </c>
      <c r="I26" s="28">
        <v>3</v>
      </c>
      <c r="J26" s="277">
        <v>7115500</v>
      </c>
      <c r="K26" s="306">
        <f>VLOOKUP(H26,'thang luong moi'!B:I,'Bang luong (chaun)'!I26+1,0)</f>
        <v>8025000</v>
      </c>
      <c r="L26" s="315">
        <f t="shared" si="24"/>
        <v>0.11333333333333333</v>
      </c>
      <c r="M26" s="77" t="e">
        <f>VLOOKUP(C26,CC!$C$5:$AJ$67,34,0)</f>
        <v>#N/A</v>
      </c>
      <c r="N26" s="22" t="e">
        <f t="shared" si="9"/>
        <v>#N/A</v>
      </c>
      <c r="O26" s="22" t="e">
        <f>VLOOKUP(C26,CC!$C$5:$AM$67,36,0)</f>
        <v>#N/A</v>
      </c>
      <c r="P26" s="22" t="e">
        <f>VLOOKUP(C26,CC!$C$5:$BS$67,69,0)</f>
        <v>#N/A</v>
      </c>
      <c r="Q26" s="22" t="e">
        <f>VLOOKUP(C26,CC!$C$5:$BT$67,70,0)</f>
        <v>#N/A</v>
      </c>
      <c r="R26" s="22" t="e">
        <f>VLOOKUP(C26,CC!$C$5:$AM$67,37,0)</f>
        <v>#N/A</v>
      </c>
      <c r="S26" s="22" t="e">
        <f>VLOOKUP(C26,CC!$C$5:$AM$67,35,0)</f>
        <v>#N/A</v>
      </c>
      <c r="T26" s="22" t="e">
        <f t="shared" si="8"/>
        <v>#N/A</v>
      </c>
      <c r="U26" s="249"/>
      <c r="V26" s="22">
        <f t="shared" si="25"/>
        <v>160500</v>
      </c>
      <c r="W26" s="22">
        <f ca="1">(100%-SUMIF('chuyên cần'!$C$6:$AP$31,'Bang luong (chaun)'!C26,'chuyên cần'!$AP$7:$AP$31))*$W$3</f>
        <v>300000</v>
      </c>
      <c r="X26" s="22"/>
      <c r="Y26" s="22"/>
      <c r="Z26" s="22">
        <v>1307690</v>
      </c>
      <c r="AA26" s="22"/>
      <c r="AB26" s="199">
        <v>1750000</v>
      </c>
      <c r="AC26" s="106" t="e">
        <f t="shared" ca="1" si="26"/>
        <v>#N/A</v>
      </c>
      <c r="AD26" s="203">
        <f t="shared" si="27"/>
        <v>8865500</v>
      </c>
      <c r="AE26" s="204">
        <f t="shared" si="28"/>
        <v>9775000</v>
      </c>
      <c r="AF26" s="204">
        <v>9240000</v>
      </c>
      <c r="AG26" s="106" t="e">
        <f>'ung luong'!#REF!</f>
        <v>#REF!</v>
      </c>
      <c r="AH26" s="106">
        <f t="shared" si="29"/>
        <v>351750</v>
      </c>
      <c r="AI26" s="106" t="e">
        <f t="shared" ca="1" si="10"/>
        <v>#N/A</v>
      </c>
      <c r="AJ26" s="106" t="e">
        <f t="shared" ca="1" si="11"/>
        <v>#N/A</v>
      </c>
      <c r="AK26" s="231"/>
      <c r="AM26" s="220">
        <v>3350000</v>
      </c>
    </row>
    <row r="27" spans="1:39" ht="21" customHeight="1">
      <c r="A27" s="3">
        <f t="shared" ref="A27:A40" si="30">A26+1</f>
        <v>19</v>
      </c>
      <c r="B27" s="3" t="s">
        <v>173</v>
      </c>
      <c r="C27" s="3" t="s">
        <v>68</v>
      </c>
      <c r="D27" s="3" t="s">
        <v>206</v>
      </c>
      <c r="E27" s="110">
        <v>41739</v>
      </c>
      <c r="F27" s="111">
        <f t="shared" si="20"/>
        <v>1</v>
      </c>
      <c r="G27" s="22">
        <f t="shared" si="1"/>
        <v>3745000</v>
      </c>
      <c r="H27" s="28" t="s">
        <v>661</v>
      </c>
      <c r="I27" s="28">
        <v>2</v>
      </c>
      <c r="J27" s="277">
        <v>3745000</v>
      </c>
      <c r="K27" s="306">
        <f>VLOOKUP(H27,'thang luong moi'!B:I,'Bang luong (chaun)'!I27+1,0)</f>
        <v>4694625.0000000009</v>
      </c>
      <c r="L27" s="315">
        <f t="shared" si="24"/>
        <v>0.20227920227920243</v>
      </c>
      <c r="M27" s="77" t="e">
        <f>VLOOKUP(C27,CC!$C$5:$AJ$67,34,0)</f>
        <v>#N/A</v>
      </c>
      <c r="N27" s="22" t="e">
        <f t="shared" si="9"/>
        <v>#N/A</v>
      </c>
      <c r="O27" s="22" t="e">
        <f>VLOOKUP(C27,CC!$C$5:$AM$67,36,0)</f>
        <v>#N/A</v>
      </c>
      <c r="P27" s="22" t="e">
        <f>VLOOKUP(C27,CC!$C$5:$BS$67,69,0)</f>
        <v>#N/A</v>
      </c>
      <c r="Q27" s="22" t="e">
        <f>VLOOKUP(C27,CC!$C$5:$BT$67,70,0)</f>
        <v>#N/A</v>
      </c>
      <c r="R27" s="22" t="e">
        <f>VLOOKUP(C27,CC!$C$5:$AM$67,37,0)</f>
        <v>#N/A</v>
      </c>
      <c r="S27" s="76" t="e">
        <f>VLOOKUP(C27,CC!$C$5:$AM$67,35,0)</f>
        <v>#N/A</v>
      </c>
      <c r="T27" s="22" t="e">
        <f t="shared" si="8"/>
        <v>#N/A</v>
      </c>
      <c r="U27" s="22" t="e">
        <f>VLOOKUP(C27,'Công tổng'!$C$53:$BY$67,66,0)-N27</f>
        <v>#N/A</v>
      </c>
      <c r="V27" s="22">
        <f t="shared" si="25"/>
        <v>0</v>
      </c>
      <c r="W27" s="22">
        <f ca="1">(100%-SUMIF('chuyên cần'!$C$6:$AP$31,'Bang luong (chaun)'!C27,'chuyên cần'!$AP$7:$AP$31))*$W$3</f>
        <v>300000</v>
      </c>
      <c r="X27" s="22"/>
      <c r="Y27" s="22"/>
      <c r="Z27" s="22">
        <v>0</v>
      </c>
      <c r="AA27" s="22"/>
      <c r="AB27" s="199">
        <v>75000</v>
      </c>
      <c r="AC27" s="106" t="e">
        <f t="shared" ca="1" si="26"/>
        <v>#N/A</v>
      </c>
      <c r="AD27" s="203">
        <f t="shared" si="27"/>
        <v>3820000</v>
      </c>
      <c r="AE27" s="204">
        <f t="shared" si="28"/>
        <v>4769625.0000000009</v>
      </c>
      <c r="AF27" s="204">
        <v>4456650.0000000009</v>
      </c>
      <c r="AG27" s="106" t="e">
        <f>'ung luong'!#REF!</f>
        <v>#REF!</v>
      </c>
      <c r="AH27" s="106">
        <f t="shared" si="29"/>
        <v>351750</v>
      </c>
      <c r="AI27" s="106" t="e">
        <f t="shared" ca="1" si="10"/>
        <v>#N/A</v>
      </c>
      <c r="AJ27" s="106" t="e">
        <f t="shared" ca="1" si="11"/>
        <v>#N/A</v>
      </c>
      <c r="AK27" s="231"/>
      <c r="AM27" s="220">
        <v>3350000</v>
      </c>
    </row>
    <row r="28" spans="1:39" ht="21" customHeight="1">
      <c r="A28" s="3">
        <f t="shared" si="30"/>
        <v>20</v>
      </c>
      <c r="B28" s="3" t="s">
        <v>174</v>
      </c>
      <c r="C28" s="3" t="s">
        <v>74</v>
      </c>
      <c r="D28" s="3" t="s">
        <v>206</v>
      </c>
      <c r="E28" s="110">
        <v>37257</v>
      </c>
      <c r="F28" s="111">
        <f t="shared" si="20"/>
        <v>14</v>
      </c>
      <c r="G28" s="22">
        <f t="shared" si="1"/>
        <v>3745000</v>
      </c>
      <c r="H28" s="28" t="s">
        <v>661</v>
      </c>
      <c r="I28" s="28">
        <v>2</v>
      </c>
      <c r="J28" s="277">
        <v>4119500.0000000009</v>
      </c>
      <c r="K28" s="306">
        <f>VLOOKUP(H28,'thang luong moi'!B:I,'Bang luong (chaun)'!I28+1,0)</f>
        <v>4694625.0000000009</v>
      </c>
      <c r="L28" s="315">
        <f t="shared" si="24"/>
        <v>0.12250712250712248</v>
      </c>
      <c r="M28" s="77">
        <f>VLOOKUP(C28,CC!$C$5:$AJ$67,34,0)</f>
        <v>27</v>
      </c>
      <c r="N28" s="22">
        <f t="shared" si="9"/>
        <v>4875187.5000000009</v>
      </c>
      <c r="O28" s="22">
        <f>VLOOKUP(C28,CC!$C$5:$AM$67,36,0)</f>
        <v>0</v>
      </c>
      <c r="P28" s="22">
        <f>VLOOKUP(C28,CC!$C$5:$BS$67,69,0)</f>
        <v>0</v>
      </c>
      <c r="Q28" s="22">
        <f>VLOOKUP(C28,CC!$C$5:$BT$67,70,0)</f>
        <v>0</v>
      </c>
      <c r="R28" s="22">
        <f>VLOOKUP(C28,CC!$C$5:$AM$67,37,0)</f>
        <v>0</v>
      </c>
      <c r="S28" s="22">
        <f>VLOOKUP(C28,CC!$C$5:$AM$67,35,0)</f>
        <v>0</v>
      </c>
      <c r="T28" s="22">
        <f t="shared" si="8"/>
        <v>4875187.5000000009</v>
      </c>
      <c r="U28" s="22" t="e">
        <f>VLOOKUP(C28,'Công tổng'!$C$53:$BY$67,66,0)-N28</f>
        <v>#N/A</v>
      </c>
      <c r="V28" s="22">
        <f t="shared" si="25"/>
        <v>657247.50000000023</v>
      </c>
      <c r="W28" s="22">
        <f ca="1">(100%-SUMIF('chuyên cần'!$C$6:$AP$31,'Bang luong (chaun)'!C28,'chuyên cần'!$AP$7:$AP$31))*$W$3</f>
        <v>300000</v>
      </c>
      <c r="X28" s="22"/>
      <c r="Y28" s="22"/>
      <c r="Z28" s="22"/>
      <c r="AA28" s="22"/>
      <c r="AB28" s="199">
        <v>726730.00000000023</v>
      </c>
      <c r="AC28" s="265" t="e">
        <f t="shared" ca="1" si="26"/>
        <v>#N/A</v>
      </c>
      <c r="AD28" s="203">
        <f t="shared" si="27"/>
        <v>4846230.0000000009</v>
      </c>
      <c r="AE28" s="204">
        <f t="shared" si="28"/>
        <v>5421355.0000000009</v>
      </c>
      <c r="AF28" s="204">
        <v>5108380.0000000009</v>
      </c>
      <c r="AG28" s="106" t="e">
        <f>'ung luong'!#REF!</f>
        <v>#REF!</v>
      </c>
      <c r="AH28" s="106">
        <f t="shared" si="29"/>
        <v>351750</v>
      </c>
      <c r="AI28" s="106" t="e">
        <f t="shared" ca="1" si="10"/>
        <v>#N/A</v>
      </c>
      <c r="AJ28" s="265" t="e">
        <f t="shared" ca="1" si="11"/>
        <v>#N/A</v>
      </c>
      <c r="AK28" s="231"/>
      <c r="AM28" s="220">
        <v>3350000</v>
      </c>
    </row>
    <row r="29" spans="1:39" ht="21" customHeight="1">
      <c r="A29" s="3">
        <f t="shared" si="30"/>
        <v>21</v>
      </c>
      <c r="B29" s="3" t="s">
        <v>175</v>
      </c>
      <c r="C29" s="3" t="s">
        <v>368</v>
      </c>
      <c r="D29" s="3" t="s">
        <v>206</v>
      </c>
      <c r="E29" s="110">
        <v>37622</v>
      </c>
      <c r="F29" s="111">
        <f t="shared" si="20"/>
        <v>13</v>
      </c>
      <c r="G29" s="22">
        <f t="shared" si="1"/>
        <v>3745000</v>
      </c>
      <c r="H29" s="28" t="s">
        <v>661</v>
      </c>
      <c r="I29" s="28">
        <v>2</v>
      </c>
      <c r="J29" s="277">
        <v>4119500.0000000009</v>
      </c>
      <c r="K29" s="306">
        <f>VLOOKUP(H29,'thang luong moi'!B:I,'Bang luong (chaun)'!I29+1,0)</f>
        <v>4694625.0000000009</v>
      </c>
      <c r="L29" s="315">
        <f t="shared" si="24"/>
        <v>0.12250712250712248</v>
      </c>
      <c r="M29" s="77" t="e">
        <f>VLOOKUP(C29,CC!$C$5:$AJ$67,34,0)</f>
        <v>#N/A</v>
      </c>
      <c r="N29" s="22" t="e">
        <f t="shared" si="9"/>
        <v>#N/A</v>
      </c>
      <c r="O29" s="22" t="e">
        <f>VLOOKUP(C29,CC!$C$5:$AM$67,36,0)</f>
        <v>#N/A</v>
      </c>
      <c r="P29" s="22" t="e">
        <f>VLOOKUP(C29,CC!$C$5:$BS$67,69,0)</f>
        <v>#N/A</v>
      </c>
      <c r="Q29" s="22" t="e">
        <f>VLOOKUP(C29,CC!$C$5:$BT$67,70,0)</f>
        <v>#N/A</v>
      </c>
      <c r="R29" s="22" t="e">
        <f>VLOOKUP(C29,CC!$C$5:$AM$67,37,0)</f>
        <v>#N/A</v>
      </c>
      <c r="S29" s="22" t="e">
        <f>VLOOKUP(C29,CC!$C$5:$AM$67,35,0)</f>
        <v>#N/A</v>
      </c>
      <c r="T29" s="22" t="e">
        <f t="shared" si="8"/>
        <v>#N/A</v>
      </c>
      <c r="U29" s="22" t="e">
        <f>VLOOKUP(C29,'Công tổng'!$C$53:$BY$67,66,0)-N29</f>
        <v>#N/A</v>
      </c>
      <c r="V29" s="22">
        <f t="shared" si="25"/>
        <v>610301.25000000012</v>
      </c>
      <c r="W29" s="22">
        <f ca="1">(100%-SUMIF('chuyên cần'!$C$6:$AP$31,'Bang luong (chaun)'!C29,'chuyên cần'!$AP$7:$AP$31))*$W$3</f>
        <v>300000</v>
      </c>
      <c r="X29" s="22"/>
      <c r="Y29" s="22"/>
      <c r="Z29" s="22"/>
      <c r="AA29" s="22"/>
      <c r="AB29" s="199">
        <v>610535.00000000012</v>
      </c>
      <c r="AC29" s="265" t="e">
        <f t="shared" ca="1" si="26"/>
        <v>#N/A</v>
      </c>
      <c r="AD29" s="203">
        <f t="shared" si="27"/>
        <v>4730035.0000000009</v>
      </c>
      <c r="AE29" s="204">
        <f t="shared" si="28"/>
        <v>5305160.0000000009</v>
      </c>
      <c r="AF29" s="204">
        <v>4992185.0000000009</v>
      </c>
      <c r="AG29" s="106">
        <f>'ung luong'!F82</f>
        <v>3000000</v>
      </c>
      <c r="AH29" s="106">
        <f t="shared" si="29"/>
        <v>351750</v>
      </c>
      <c r="AI29" s="106" t="e">
        <f t="shared" ca="1" si="10"/>
        <v>#N/A</v>
      </c>
      <c r="AJ29" s="265" t="e">
        <f t="shared" ca="1" si="11"/>
        <v>#N/A</v>
      </c>
      <c r="AK29" s="231"/>
      <c r="AM29" s="220">
        <v>3350000</v>
      </c>
    </row>
    <row r="30" spans="1:39" ht="21" customHeight="1">
      <c r="A30" s="3">
        <f t="shared" si="30"/>
        <v>22</v>
      </c>
      <c r="B30" s="3" t="s">
        <v>176</v>
      </c>
      <c r="C30" s="3" t="s">
        <v>69</v>
      </c>
      <c r="D30" s="3" t="s">
        <v>206</v>
      </c>
      <c r="E30" s="110">
        <v>40596</v>
      </c>
      <c r="F30" s="111">
        <f t="shared" si="20"/>
        <v>5</v>
      </c>
      <c r="G30" s="22">
        <f t="shared" si="1"/>
        <v>3745000</v>
      </c>
      <c r="H30" s="28" t="s">
        <v>661</v>
      </c>
      <c r="I30" s="28">
        <v>1</v>
      </c>
      <c r="J30" s="277">
        <v>3745000</v>
      </c>
      <c r="K30" s="306">
        <f>VLOOKUP(H30,'thang luong moi'!B:I,'Bang luong (chaun)'!I30+1,0)</f>
        <v>4413750</v>
      </c>
      <c r="L30" s="315">
        <f t="shared" si="24"/>
        <v>0.15151515151515152</v>
      </c>
      <c r="M30" s="77" t="e">
        <f>VLOOKUP(C30,CC!$C$5:$AJ$67,34,0)</f>
        <v>#N/A</v>
      </c>
      <c r="N30" s="22" t="e">
        <f t="shared" si="9"/>
        <v>#N/A</v>
      </c>
      <c r="O30" s="22" t="e">
        <f>VLOOKUP(C30,CC!$C$5:$AM$67,36,0)</f>
        <v>#N/A</v>
      </c>
      <c r="P30" s="22" t="e">
        <f>VLOOKUP(C30,CC!$C$5:$BS$67,69,0)</f>
        <v>#N/A</v>
      </c>
      <c r="Q30" s="22" t="e">
        <f>VLOOKUP(C30,CC!$C$5:$BT$67,70,0)</f>
        <v>#N/A</v>
      </c>
      <c r="R30" s="22" t="e">
        <f>VLOOKUP(C30,CC!$C$5:$AM$67,37,0)</f>
        <v>#N/A</v>
      </c>
      <c r="S30" s="22" t="e">
        <f>VLOOKUP(C30,CC!$C$5:$AM$67,35,0)</f>
        <v>#N/A</v>
      </c>
      <c r="T30" s="22" t="e">
        <f t="shared" si="8"/>
        <v>#N/A</v>
      </c>
      <c r="U30" s="22" t="e">
        <f>VLOOKUP(C30,'Công tổng'!$C$53:$BY$67,66,0)-N30</f>
        <v>#N/A</v>
      </c>
      <c r="V30" s="22">
        <f t="shared" si="25"/>
        <v>220687.5</v>
      </c>
      <c r="W30" s="22">
        <f ca="1">(100%-SUMIF('chuyên cần'!$C$6:$AP$31,'Bang luong (chaun)'!C30,'chuyên cần'!$AP$7:$AP$31))*$W$3</f>
        <v>300000</v>
      </c>
      <c r="X30" s="22"/>
      <c r="Y30" s="22"/>
      <c r="Z30" s="22"/>
      <c r="AA30" s="22"/>
      <c r="AB30" s="199">
        <v>487250</v>
      </c>
      <c r="AC30" s="106" t="e">
        <f t="shared" ca="1" si="26"/>
        <v>#N/A</v>
      </c>
      <c r="AD30" s="203">
        <f t="shared" si="27"/>
        <v>4232250</v>
      </c>
      <c r="AE30" s="204">
        <f t="shared" si="28"/>
        <v>4901000</v>
      </c>
      <c r="AF30" s="204">
        <v>4606750</v>
      </c>
      <c r="AG30" s="106" t="e">
        <f>'ung luong'!#REF!</f>
        <v>#REF!</v>
      </c>
      <c r="AH30" s="106">
        <f t="shared" si="29"/>
        <v>348285</v>
      </c>
      <c r="AI30" s="106" t="e">
        <f t="shared" ca="1" si="10"/>
        <v>#N/A</v>
      </c>
      <c r="AJ30" s="106" t="e">
        <f t="shared" ca="1" si="11"/>
        <v>#N/A</v>
      </c>
      <c r="AK30" s="231"/>
      <c r="AM30" s="220">
        <v>3317000</v>
      </c>
    </row>
    <row r="31" spans="1:39" s="240" customFormat="1" ht="21" customHeight="1">
      <c r="A31" s="3">
        <f t="shared" si="30"/>
        <v>23</v>
      </c>
      <c r="B31" s="3" t="s">
        <v>177</v>
      </c>
      <c r="C31" s="3" t="s">
        <v>75</v>
      </c>
      <c r="D31" s="3" t="s">
        <v>206</v>
      </c>
      <c r="E31" s="110">
        <v>41321</v>
      </c>
      <c r="F31" s="111">
        <f t="shared" si="20"/>
        <v>3</v>
      </c>
      <c r="G31" s="22">
        <f t="shared" si="1"/>
        <v>3745000</v>
      </c>
      <c r="H31" s="28" t="s">
        <v>661</v>
      </c>
      <c r="I31" s="28">
        <v>1</v>
      </c>
      <c r="J31" s="277">
        <v>3745000</v>
      </c>
      <c r="K31" s="306">
        <f>VLOOKUP(H31,'thang luong moi'!B:I,'Bang luong (chaun)'!I31+1,0)</f>
        <v>4413750</v>
      </c>
      <c r="L31" s="315">
        <f t="shared" si="24"/>
        <v>0.15151515151515152</v>
      </c>
      <c r="M31" s="77">
        <f>VLOOKUP(C31,CC!$C$5:$AJ$67,34,0)</f>
        <v>27</v>
      </c>
      <c r="N31" s="22">
        <f t="shared" si="9"/>
        <v>4583509.615384615</v>
      </c>
      <c r="O31" s="22">
        <f>VLOOKUP(C31,CC!$C$5:$AM$67,36,0)</f>
        <v>0</v>
      </c>
      <c r="P31" s="22">
        <f>VLOOKUP(C31,CC!$C$5:$BS$67,69,0)</f>
        <v>0</v>
      </c>
      <c r="Q31" s="22">
        <f>VLOOKUP(C31,CC!$C$5:$BT$67,70,0)</f>
        <v>0</v>
      </c>
      <c r="R31" s="22">
        <f>VLOOKUP(C31,CC!$C$5:$AM$67,37,0)</f>
        <v>0</v>
      </c>
      <c r="S31" s="22">
        <f>VLOOKUP(C31,CC!$C$5:$AM$67,35,0)</f>
        <v>0</v>
      </c>
      <c r="T31" s="22">
        <f t="shared" si="8"/>
        <v>4583509.615384615</v>
      </c>
      <c r="U31" s="22" t="e">
        <f>VLOOKUP(C31,'Công tổng'!$C$53:$BY$67,66,0)-N31</f>
        <v>#N/A</v>
      </c>
      <c r="V31" s="22">
        <f t="shared" si="25"/>
        <v>132412.5</v>
      </c>
      <c r="W31" s="22">
        <f ca="1">(100%-SUMIF('chuyên cần'!$C$6:$AP$31,'Bang luong (chaun)'!C31,'chuyên cần'!$AP$7:$AP$31))*$W$3</f>
        <v>300000</v>
      </c>
      <c r="X31" s="22"/>
      <c r="Y31" s="22"/>
      <c r="Z31" s="22"/>
      <c r="AA31" s="22"/>
      <c r="AB31" s="199">
        <v>412350</v>
      </c>
      <c r="AC31" s="106" t="e">
        <f t="shared" ca="1" si="26"/>
        <v>#N/A</v>
      </c>
      <c r="AD31" s="203">
        <f t="shared" si="27"/>
        <v>4157350</v>
      </c>
      <c r="AE31" s="204">
        <f t="shared" si="28"/>
        <v>4826100</v>
      </c>
      <c r="AF31" s="204">
        <v>4531850</v>
      </c>
      <c r="AG31" s="106" t="e">
        <f>'ung luong'!#REF!</f>
        <v>#REF!</v>
      </c>
      <c r="AH31" s="106">
        <v>348000</v>
      </c>
      <c r="AI31" s="106" t="e">
        <f t="shared" ca="1" si="10"/>
        <v>#N/A</v>
      </c>
      <c r="AJ31" s="106" t="e">
        <f t="shared" ca="1" si="11"/>
        <v>#N/A</v>
      </c>
      <c r="AK31" s="238"/>
      <c r="AL31" s="239"/>
      <c r="AM31" s="239">
        <v>3317000</v>
      </c>
    </row>
    <row r="32" spans="1:39" ht="21" customHeight="1">
      <c r="A32" s="3">
        <f t="shared" si="30"/>
        <v>24</v>
      </c>
      <c r="B32" s="3" t="s">
        <v>178</v>
      </c>
      <c r="C32" s="3" t="s">
        <v>76</v>
      </c>
      <c r="D32" s="3" t="s">
        <v>206</v>
      </c>
      <c r="E32" s="110">
        <v>41589</v>
      </c>
      <c r="F32" s="111">
        <f t="shared" si="20"/>
        <v>2</v>
      </c>
      <c r="G32" s="22">
        <f t="shared" si="1"/>
        <v>3745000</v>
      </c>
      <c r="H32" s="28" t="s">
        <v>661</v>
      </c>
      <c r="I32" s="28">
        <v>1</v>
      </c>
      <c r="J32" s="277">
        <v>3745000</v>
      </c>
      <c r="K32" s="306">
        <f>VLOOKUP(H32,'thang luong moi'!B:I,'Bang luong (chaun)'!I32+1,0)</f>
        <v>4413750</v>
      </c>
      <c r="L32" s="315">
        <f t="shared" si="24"/>
        <v>0.15151515151515152</v>
      </c>
      <c r="M32" s="77" t="e">
        <f>VLOOKUP(C32,CC!$C$5:$AJ$67,34,0)</f>
        <v>#N/A</v>
      </c>
      <c r="N32" s="22" t="e">
        <f t="shared" si="9"/>
        <v>#N/A</v>
      </c>
      <c r="O32" s="22" t="e">
        <f>VLOOKUP(C32,CC!$C$5:$AM$67,36,0)</f>
        <v>#N/A</v>
      </c>
      <c r="P32" s="22" t="e">
        <f>VLOOKUP(C32,CC!$C$5:$BS$67,69,0)</f>
        <v>#N/A</v>
      </c>
      <c r="Q32" s="22" t="e">
        <f>VLOOKUP(C32,CC!$C$5:$BT$67,70,0)</f>
        <v>#N/A</v>
      </c>
      <c r="R32" s="22" t="e">
        <f>VLOOKUP(C32,CC!$C$5:$AM$67,37,0)</f>
        <v>#N/A</v>
      </c>
      <c r="S32" s="22" t="e">
        <f>VLOOKUP(C32,CC!$C$5:$AM$67,35,0)</f>
        <v>#N/A</v>
      </c>
      <c r="T32" s="22" t="e">
        <f t="shared" si="8"/>
        <v>#N/A</v>
      </c>
      <c r="U32" s="22" t="e">
        <f>VLOOKUP(C32,'Công tổng'!$C$53:$BY$67,66,0)-N32</f>
        <v>#N/A</v>
      </c>
      <c r="V32" s="22">
        <f t="shared" si="25"/>
        <v>88275</v>
      </c>
      <c r="W32" s="22">
        <f ca="1">(100%-SUMIF('chuyên cần'!$C$6:$AP$31,'Bang luong (chaun)'!C32,'chuyên cần'!$AP$7:$AP$31))*$W$3</f>
        <v>300000</v>
      </c>
      <c r="X32" s="22"/>
      <c r="Y32" s="22"/>
      <c r="Z32" s="22"/>
      <c r="AA32" s="22"/>
      <c r="AB32" s="199">
        <v>149900</v>
      </c>
      <c r="AC32" s="106" t="e">
        <f t="shared" ca="1" si="26"/>
        <v>#N/A</v>
      </c>
      <c r="AD32" s="203">
        <f t="shared" si="27"/>
        <v>3894900</v>
      </c>
      <c r="AE32" s="204">
        <f t="shared" si="28"/>
        <v>4563650</v>
      </c>
      <c r="AF32" s="204">
        <v>4269400</v>
      </c>
      <c r="AG32" s="106" t="e">
        <f>'ung luong'!#REF!</f>
        <v>#REF!</v>
      </c>
      <c r="AH32" s="106">
        <f t="shared" ref="AH32:AH38" si="31">AM32*$AH$2</f>
        <v>348285</v>
      </c>
      <c r="AI32" s="106" t="e">
        <f t="shared" ca="1" si="10"/>
        <v>#N/A</v>
      </c>
      <c r="AJ32" s="106" t="e">
        <f t="shared" ca="1" si="11"/>
        <v>#N/A</v>
      </c>
      <c r="AK32" s="231"/>
      <c r="AM32" s="220">
        <v>3317000</v>
      </c>
    </row>
    <row r="33" spans="1:39" ht="21" customHeight="1">
      <c r="A33" s="3">
        <f t="shared" si="30"/>
        <v>25</v>
      </c>
      <c r="B33" s="3" t="s">
        <v>179</v>
      </c>
      <c r="C33" s="3" t="s">
        <v>70</v>
      </c>
      <c r="D33" s="3" t="s">
        <v>206</v>
      </c>
      <c r="E33" s="110">
        <v>38838</v>
      </c>
      <c r="F33" s="111">
        <f t="shared" si="20"/>
        <v>9</v>
      </c>
      <c r="G33" s="22">
        <f t="shared" si="1"/>
        <v>3745000</v>
      </c>
      <c r="H33" s="28" t="s">
        <v>659</v>
      </c>
      <c r="I33" s="28">
        <v>5</v>
      </c>
      <c r="J33" s="277">
        <v>4868500</v>
      </c>
      <c r="K33" s="306">
        <f>VLOOKUP(H33,'thang luong moi'!B:I,'Bang luong (chaun)'!I33+1,0)</f>
        <v>5497125</v>
      </c>
      <c r="L33" s="315">
        <f t="shared" si="24"/>
        <v>0.11435523114355231</v>
      </c>
      <c r="M33" s="77">
        <f>VLOOKUP(C33,CC!$C$5:$AJ$67,34,0)</f>
        <v>27</v>
      </c>
      <c r="N33" s="22">
        <f t="shared" si="9"/>
        <v>5708552.884615385</v>
      </c>
      <c r="O33" s="22">
        <f>VLOOKUP(C33,CC!$C$5:$AM$67,36,0)</f>
        <v>0</v>
      </c>
      <c r="P33" s="22">
        <f>VLOOKUP(C33,CC!$C$5:$BS$67,69,0)</f>
        <v>0</v>
      </c>
      <c r="Q33" s="22">
        <f>VLOOKUP(C33,CC!$C$5:$BT$67,70,0)</f>
        <v>0</v>
      </c>
      <c r="R33" s="22">
        <f>VLOOKUP(C33,CC!$C$5:$AM$67,37,0)</f>
        <v>0</v>
      </c>
      <c r="S33" s="22">
        <f>VLOOKUP(C33,CC!$C$5:$AM$67,35,0)</f>
        <v>0</v>
      </c>
      <c r="T33" s="22">
        <f t="shared" si="8"/>
        <v>5708552.884615385</v>
      </c>
      <c r="U33" s="249"/>
      <c r="V33" s="22">
        <f t="shared" si="25"/>
        <v>494741.25</v>
      </c>
      <c r="W33" s="22">
        <f ca="1">(100%-SUMIF('chuyên cần'!$C$6:$AP$31,'Bang luong (chaun)'!C33,'chuyên cần'!$AP$7:$AP$31))*$W$3</f>
        <v>300000</v>
      </c>
      <c r="X33" s="22"/>
      <c r="Y33" s="22"/>
      <c r="Z33" s="22">
        <v>200000</v>
      </c>
      <c r="AA33" s="22"/>
      <c r="AB33" s="199">
        <v>938165</v>
      </c>
      <c r="AC33" s="106">
        <f t="shared" ca="1" si="26"/>
        <v>6703294.134615385</v>
      </c>
      <c r="AD33" s="203">
        <f t="shared" si="27"/>
        <v>5806665</v>
      </c>
      <c r="AE33" s="204">
        <f t="shared" si="28"/>
        <v>6435290</v>
      </c>
      <c r="AF33" s="204">
        <v>6068815</v>
      </c>
      <c r="AG33" s="106" t="e">
        <f>'ung luong'!#REF!</f>
        <v>#REF!</v>
      </c>
      <c r="AH33" s="106">
        <f t="shared" si="31"/>
        <v>351750</v>
      </c>
      <c r="AI33" s="106" t="e">
        <f t="shared" ca="1" si="10"/>
        <v>#REF!</v>
      </c>
      <c r="AJ33" s="106" t="e">
        <f t="shared" ca="1" si="11"/>
        <v>#REF!</v>
      </c>
      <c r="AK33" s="231"/>
      <c r="AM33" s="220">
        <v>3350000</v>
      </c>
    </row>
    <row r="34" spans="1:39" ht="21" customHeight="1">
      <c r="A34" s="3">
        <f t="shared" si="30"/>
        <v>26</v>
      </c>
      <c r="B34" s="3" t="s">
        <v>180</v>
      </c>
      <c r="C34" s="3" t="s">
        <v>77</v>
      </c>
      <c r="D34" s="3" t="s">
        <v>206</v>
      </c>
      <c r="E34" s="110">
        <v>41852</v>
      </c>
      <c r="F34" s="111">
        <f t="shared" si="20"/>
        <v>1</v>
      </c>
      <c r="G34" s="22">
        <f t="shared" si="1"/>
        <v>3745000</v>
      </c>
      <c r="H34" s="28" t="s">
        <v>661</v>
      </c>
      <c r="I34" s="28">
        <v>1</v>
      </c>
      <c r="J34" s="277">
        <v>3745000</v>
      </c>
      <c r="K34" s="306">
        <f>VLOOKUP(H34,'thang luong moi'!B:I,'Bang luong (chaun)'!I34+1,0)</f>
        <v>4413750</v>
      </c>
      <c r="L34" s="315">
        <f t="shared" si="24"/>
        <v>0.15151515151515152</v>
      </c>
      <c r="M34" s="77">
        <f>VLOOKUP(C34,CC!$C$5:$AJ$67,34,0)</f>
        <v>27</v>
      </c>
      <c r="N34" s="22">
        <f t="shared" si="9"/>
        <v>4583509.615384615</v>
      </c>
      <c r="O34" s="22">
        <f>VLOOKUP(C34,CC!$C$5:$AM$67,36,0)</f>
        <v>0</v>
      </c>
      <c r="P34" s="22">
        <f>VLOOKUP(C34,CC!$C$5:$BS$67,69,0)</f>
        <v>0</v>
      </c>
      <c r="Q34" s="22">
        <f>VLOOKUP(C34,CC!$C$5:$BT$67,70,0)</f>
        <v>0</v>
      </c>
      <c r="R34" s="22">
        <f>VLOOKUP(C34,CC!$C$5:$AM$67,37,0)</f>
        <v>0</v>
      </c>
      <c r="S34" s="22">
        <f>VLOOKUP(C34,CC!$C$5:$AM$67,35,0)</f>
        <v>0</v>
      </c>
      <c r="T34" s="22">
        <f t="shared" si="8"/>
        <v>4583509.615384615</v>
      </c>
      <c r="U34" s="22" t="e">
        <f>VLOOKUP(C34,'Công tổng'!$C$53:$BY$67,66,0)-N34</f>
        <v>#N/A</v>
      </c>
      <c r="V34" s="22">
        <f t="shared" si="25"/>
        <v>0</v>
      </c>
      <c r="W34" s="22">
        <f ca="1">(100%-SUMIF('chuyên cần'!$C$6:$AP$31,'Bang luong (chaun)'!C34,'chuyên cần'!$AP$7:$AP$31))*$W$3</f>
        <v>300000</v>
      </c>
      <c r="X34" s="22"/>
      <c r="Y34" s="22"/>
      <c r="Z34" s="22">
        <v>0</v>
      </c>
      <c r="AA34" s="22"/>
      <c r="AB34" s="199">
        <v>0</v>
      </c>
      <c r="AC34" s="106" t="e">
        <f t="shared" ca="1" si="26"/>
        <v>#N/A</v>
      </c>
      <c r="AD34" s="203">
        <f t="shared" si="27"/>
        <v>3745000</v>
      </c>
      <c r="AE34" s="204">
        <f t="shared" si="28"/>
        <v>4413750</v>
      </c>
      <c r="AF34" s="204">
        <v>4119500.0000000005</v>
      </c>
      <c r="AG34" s="106">
        <f>'ung luong'!F107</f>
        <v>4000000</v>
      </c>
      <c r="AH34" s="106">
        <f t="shared" si="31"/>
        <v>0</v>
      </c>
      <c r="AI34" s="106" t="e">
        <f t="shared" ca="1" si="10"/>
        <v>#N/A</v>
      </c>
      <c r="AJ34" s="106" t="e">
        <f t="shared" ca="1" si="11"/>
        <v>#N/A</v>
      </c>
      <c r="AK34" s="231"/>
    </row>
    <row r="35" spans="1:39" ht="21" customHeight="1">
      <c r="A35" s="3">
        <f t="shared" si="30"/>
        <v>27</v>
      </c>
      <c r="B35" s="3" t="s">
        <v>181</v>
      </c>
      <c r="C35" s="3" t="s">
        <v>89</v>
      </c>
      <c r="D35" s="3" t="s">
        <v>206</v>
      </c>
      <c r="E35" s="110">
        <v>41640</v>
      </c>
      <c r="F35" s="111">
        <f t="shared" si="20"/>
        <v>2</v>
      </c>
      <c r="G35" s="22">
        <f t="shared" si="1"/>
        <v>3745000</v>
      </c>
      <c r="H35" s="28" t="s">
        <v>661</v>
      </c>
      <c r="I35" s="28">
        <v>1</v>
      </c>
      <c r="J35" s="277">
        <v>3745000</v>
      </c>
      <c r="K35" s="306">
        <f>VLOOKUP(H35,'thang luong moi'!B:I,'Bang luong (chaun)'!I35+1,0)</f>
        <v>4413750</v>
      </c>
      <c r="L35" s="315">
        <f t="shared" si="24"/>
        <v>0.15151515151515152</v>
      </c>
      <c r="M35" s="77" t="e">
        <f>VLOOKUP(C35,CC!$C$5:$AJ$67,34,0)</f>
        <v>#N/A</v>
      </c>
      <c r="N35" s="22" t="e">
        <f t="shared" si="9"/>
        <v>#N/A</v>
      </c>
      <c r="O35" s="22" t="e">
        <f>VLOOKUP(C35,CC!$C$5:$AM$67,36,0)</f>
        <v>#N/A</v>
      </c>
      <c r="P35" s="22" t="e">
        <f>VLOOKUP(C35,CC!$C$5:$BS$67,69,0)</f>
        <v>#N/A</v>
      </c>
      <c r="Q35" s="22" t="e">
        <f>VLOOKUP(C35,CC!$C$5:$BT$67,70,0)</f>
        <v>#N/A</v>
      </c>
      <c r="R35" s="22" t="e">
        <f>VLOOKUP(C35,CC!$C$5:$AM$67,37,0)</f>
        <v>#N/A</v>
      </c>
      <c r="S35" s="22" t="e">
        <f>VLOOKUP(C35,CC!$C$5:$AM$67,35,0)</f>
        <v>#N/A</v>
      </c>
      <c r="T35" s="22" t="e">
        <f t="shared" si="8"/>
        <v>#N/A</v>
      </c>
      <c r="U35" s="22" t="e">
        <f>VLOOKUP(C35,'Công tổng'!$C$53:$BY$67,66,0)-N35</f>
        <v>#N/A</v>
      </c>
      <c r="V35" s="22">
        <f t="shared" si="25"/>
        <v>88275</v>
      </c>
      <c r="W35" s="22">
        <f ca="1">(100%-SUMIF('chuyên cần'!$C$6:$AP$31,'Bang luong (chaun)'!C35,'chuyên cần'!$AP$7:$AP$31))*$W$3</f>
        <v>300000</v>
      </c>
      <c r="X35" s="22"/>
      <c r="Y35" s="22"/>
      <c r="Z35" s="22">
        <v>0</v>
      </c>
      <c r="AA35" s="22"/>
      <c r="AB35" s="199">
        <v>374900</v>
      </c>
      <c r="AC35" s="106" t="e">
        <f t="shared" ca="1" si="26"/>
        <v>#N/A</v>
      </c>
      <c r="AD35" s="203">
        <f t="shared" si="27"/>
        <v>4119900</v>
      </c>
      <c r="AE35" s="204">
        <f t="shared" si="28"/>
        <v>4788650</v>
      </c>
      <c r="AF35" s="204">
        <v>4494400</v>
      </c>
      <c r="AG35" s="106" t="e">
        <f>'ung luong'!#REF!</f>
        <v>#REF!</v>
      </c>
      <c r="AH35" s="106">
        <f t="shared" si="31"/>
        <v>0</v>
      </c>
      <c r="AI35" s="106" t="e">
        <f t="shared" ca="1" si="10"/>
        <v>#N/A</v>
      </c>
      <c r="AJ35" s="106" t="e">
        <f t="shared" ca="1" si="11"/>
        <v>#N/A</v>
      </c>
      <c r="AK35" s="231"/>
    </row>
    <row r="36" spans="1:39" ht="21" customHeight="1">
      <c r="A36" s="3">
        <f t="shared" si="30"/>
        <v>28</v>
      </c>
      <c r="B36" s="3" t="s">
        <v>182</v>
      </c>
      <c r="C36" s="3" t="s">
        <v>71</v>
      </c>
      <c r="D36" s="3" t="s">
        <v>206</v>
      </c>
      <c r="E36" s="110">
        <v>41997</v>
      </c>
      <c r="F36" s="111">
        <f t="shared" si="20"/>
        <v>1</v>
      </c>
      <c r="G36" s="22">
        <f t="shared" si="1"/>
        <v>3745000</v>
      </c>
      <c r="H36" s="28" t="s">
        <v>661</v>
      </c>
      <c r="I36" s="28">
        <v>1</v>
      </c>
      <c r="J36" s="277">
        <v>3745000</v>
      </c>
      <c r="K36" s="306">
        <f>VLOOKUP(H36,'thang luong moi'!B:I,'Bang luong (chaun)'!I36+1,0)</f>
        <v>4413750</v>
      </c>
      <c r="L36" s="315">
        <f t="shared" si="24"/>
        <v>0.15151515151515152</v>
      </c>
      <c r="M36" s="77">
        <f>VLOOKUP(C36,CC!$C$5:$AJ$67,34,0)</f>
        <v>27</v>
      </c>
      <c r="N36" s="22">
        <f t="shared" si="9"/>
        <v>4583509.615384615</v>
      </c>
      <c r="O36" s="22">
        <f>VLOOKUP(C36,CC!$C$5:$AM$67,36,0)</f>
        <v>0</v>
      </c>
      <c r="P36" s="22">
        <f>VLOOKUP(C36,CC!$C$5:$BS$67,69,0)</f>
        <v>0</v>
      </c>
      <c r="Q36" s="22">
        <f>VLOOKUP(C36,CC!$C$5:$BT$67,70,0)</f>
        <v>0</v>
      </c>
      <c r="R36" s="22">
        <f>VLOOKUP(C36,CC!$C$5:$AM$67,37,0)</f>
        <v>0</v>
      </c>
      <c r="S36" s="22">
        <f>VLOOKUP(C36,CC!$C$5:$AM$67,35,0)</f>
        <v>0</v>
      </c>
      <c r="T36" s="22">
        <f t="shared" si="8"/>
        <v>4583509.615384615</v>
      </c>
      <c r="U36" s="22">
        <f>VLOOKUP(C36,'Công tổng'!$C$53:$BY$67,66,0)-N36</f>
        <v>-4583509.615384615</v>
      </c>
      <c r="V36" s="22">
        <f t="shared" si="25"/>
        <v>0</v>
      </c>
      <c r="W36" s="22">
        <f ca="1">(100%-SUMIF('chuyên cần'!$C$6:$AP$31,'Bang luong (chaun)'!C36,'chuyên cần'!$AP$7:$AP$31))*$W$3</f>
        <v>300000</v>
      </c>
      <c r="X36" s="22"/>
      <c r="Y36" s="22"/>
      <c r="Z36" s="22">
        <v>0</v>
      </c>
      <c r="AA36" s="22"/>
      <c r="AB36" s="199">
        <v>75000</v>
      </c>
      <c r="AC36" s="106">
        <f t="shared" ca="1" si="26"/>
        <v>300000</v>
      </c>
      <c r="AD36" s="203">
        <f t="shared" si="27"/>
        <v>3820000</v>
      </c>
      <c r="AE36" s="204">
        <f t="shared" si="28"/>
        <v>4488750</v>
      </c>
      <c r="AF36" s="204">
        <v>4194500</v>
      </c>
      <c r="AG36" s="106">
        <f>'ung luong'!F103</f>
        <v>0</v>
      </c>
      <c r="AH36" s="106">
        <f t="shared" si="31"/>
        <v>0</v>
      </c>
      <c r="AI36" s="106">
        <f t="shared" ca="1" si="10"/>
        <v>300000</v>
      </c>
      <c r="AJ36" s="106">
        <f t="shared" ca="1" si="11"/>
        <v>300000</v>
      </c>
      <c r="AK36" s="231"/>
    </row>
    <row r="37" spans="1:39" ht="21" customHeight="1">
      <c r="A37" s="3">
        <f t="shared" si="30"/>
        <v>29</v>
      </c>
      <c r="B37" s="3" t="s">
        <v>183</v>
      </c>
      <c r="C37" s="3" t="s">
        <v>87</v>
      </c>
      <c r="D37" s="3" t="s">
        <v>206</v>
      </c>
      <c r="E37" s="110">
        <v>41786</v>
      </c>
      <c r="F37" s="111">
        <f t="shared" si="20"/>
        <v>1</v>
      </c>
      <c r="G37" s="22">
        <f t="shared" si="1"/>
        <v>3745000</v>
      </c>
      <c r="H37" s="28" t="s">
        <v>661</v>
      </c>
      <c r="I37" s="28">
        <v>1</v>
      </c>
      <c r="J37" s="277">
        <v>3745000</v>
      </c>
      <c r="K37" s="306">
        <f>VLOOKUP(H37,'thang luong moi'!B:I,'Bang luong (chaun)'!I37+1,0)</f>
        <v>4413750</v>
      </c>
      <c r="L37" s="315">
        <f t="shared" si="24"/>
        <v>0.15151515151515152</v>
      </c>
      <c r="M37" s="77">
        <f>VLOOKUP(C37,CC!$C$5:$AJ$67,34,0)</f>
        <v>27</v>
      </c>
      <c r="N37" s="22">
        <f t="shared" si="9"/>
        <v>4583509.615384615</v>
      </c>
      <c r="O37" s="22">
        <f>VLOOKUP(C37,CC!$C$5:$AM$67,36,0)</f>
        <v>0</v>
      </c>
      <c r="P37" s="22">
        <f>VLOOKUP(C37,CC!$C$5:$BS$67,69,0)</f>
        <v>0</v>
      </c>
      <c r="Q37" s="22">
        <f>VLOOKUP(C37,CC!$C$5:$BT$67,70,0)</f>
        <v>0</v>
      </c>
      <c r="R37" s="22">
        <f>VLOOKUP(C37,CC!$C$5:$AM$67,37,0)</f>
        <v>0</v>
      </c>
      <c r="S37" s="22">
        <f>VLOOKUP(C37,CC!$C$5:$AM$67,35,0)</f>
        <v>0</v>
      </c>
      <c r="T37" s="22">
        <f t="shared" si="8"/>
        <v>4583509.615384615</v>
      </c>
      <c r="U37" s="22">
        <f>VLOOKUP(C37,'Công tổng'!$C$53:$BY$67,66,0)-N37</f>
        <v>-4583509.615384615</v>
      </c>
      <c r="V37" s="22">
        <f t="shared" si="25"/>
        <v>0</v>
      </c>
      <c r="W37" s="22">
        <f ca="1">(100%-SUMIF('chuyên cần'!$C$6:$AP$31,'Bang luong (chaun)'!C37,'chuyên cần'!$AP$7:$AP$31))*$W$3</f>
        <v>300000</v>
      </c>
      <c r="X37" s="22"/>
      <c r="Y37" s="22"/>
      <c r="Z37" s="22">
        <v>0</v>
      </c>
      <c r="AA37" s="22"/>
      <c r="AB37" s="199">
        <v>300000</v>
      </c>
      <c r="AC37" s="265">
        <f t="shared" ca="1" si="26"/>
        <v>300000</v>
      </c>
      <c r="AD37" s="203">
        <f t="shared" si="27"/>
        <v>4045000</v>
      </c>
      <c r="AE37" s="204">
        <f t="shared" si="28"/>
        <v>4713750</v>
      </c>
      <c r="AF37" s="204">
        <v>4419500</v>
      </c>
      <c r="AG37" s="106">
        <f>'ung luong'!F99</f>
        <v>4000000</v>
      </c>
      <c r="AH37" s="106">
        <f t="shared" si="31"/>
        <v>0</v>
      </c>
      <c r="AI37" s="106">
        <f t="shared" ca="1" si="10"/>
        <v>-3700000</v>
      </c>
      <c r="AJ37" s="265">
        <f t="shared" ca="1" si="11"/>
        <v>-3700000</v>
      </c>
      <c r="AK37" s="231"/>
    </row>
    <row r="38" spans="1:39" ht="21" customHeight="1">
      <c r="A38" s="3">
        <f t="shared" si="30"/>
        <v>30</v>
      </c>
      <c r="B38" s="3" t="s">
        <v>184</v>
      </c>
      <c r="C38" s="3" t="s">
        <v>88</v>
      </c>
      <c r="D38" s="3" t="s">
        <v>206</v>
      </c>
      <c r="E38" s="110">
        <v>41876</v>
      </c>
      <c r="F38" s="111">
        <f t="shared" si="20"/>
        <v>1</v>
      </c>
      <c r="G38" s="22">
        <f t="shared" si="1"/>
        <v>3745000</v>
      </c>
      <c r="H38" s="28" t="s">
        <v>661</v>
      </c>
      <c r="I38" s="28">
        <v>1</v>
      </c>
      <c r="J38" s="277">
        <v>3745000</v>
      </c>
      <c r="K38" s="306">
        <f>VLOOKUP(H38,'thang luong moi'!B:I,'Bang luong (chaun)'!I38+1,0)</f>
        <v>4413750</v>
      </c>
      <c r="L38" s="315">
        <f t="shared" si="24"/>
        <v>0.15151515151515152</v>
      </c>
      <c r="M38" s="77">
        <f>VLOOKUP(C38,CC!$C$5:$AJ$67,34,0)</f>
        <v>27</v>
      </c>
      <c r="N38" s="22">
        <f t="shared" si="9"/>
        <v>4583509.615384615</v>
      </c>
      <c r="O38" s="22">
        <f>VLOOKUP(C38,CC!$C$5:$AM$67,36,0)</f>
        <v>0</v>
      </c>
      <c r="P38" s="22">
        <f>VLOOKUP(C38,CC!$C$5:$BS$67,69,0)</f>
        <v>0</v>
      </c>
      <c r="Q38" s="22">
        <f>VLOOKUP(C38,CC!$C$5:$BT$67,70,0)</f>
        <v>0</v>
      </c>
      <c r="R38" s="22">
        <f>VLOOKUP(C38,CC!$C$5:$AM$67,37,0)</f>
        <v>0</v>
      </c>
      <c r="S38" s="22">
        <f>VLOOKUP(C38,CC!$C$5:$AM$67,35,0)</f>
        <v>0</v>
      </c>
      <c r="T38" s="22">
        <f t="shared" si="8"/>
        <v>4583509.615384615</v>
      </c>
      <c r="U38" s="22">
        <f>VLOOKUP(C38,'Công tổng'!$C$53:$BY$67,66,0)-N38</f>
        <v>-4583509.615384615</v>
      </c>
      <c r="V38" s="22">
        <f t="shared" si="25"/>
        <v>0</v>
      </c>
      <c r="W38" s="22">
        <f ca="1">(100%-SUMIF('chuyên cần'!$C$6:$AP$31,'Bang luong (chaun)'!C38,'chuyên cần'!$AP$7:$AP$31))*$W$3</f>
        <v>300000</v>
      </c>
      <c r="X38" s="22"/>
      <c r="Y38" s="22"/>
      <c r="Z38" s="22">
        <v>0</v>
      </c>
      <c r="AA38" s="22"/>
      <c r="AB38" s="199">
        <v>300000</v>
      </c>
      <c r="AC38" s="265">
        <f t="shared" ca="1" si="26"/>
        <v>300000</v>
      </c>
      <c r="AD38" s="203">
        <f t="shared" si="27"/>
        <v>4045000</v>
      </c>
      <c r="AE38" s="204">
        <f t="shared" si="28"/>
        <v>4713750</v>
      </c>
      <c r="AF38" s="204">
        <v>4419500</v>
      </c>
      <c r="AG38" s="106">
        <f>'ung luong'!F100</f>
        <v>3500000</v>
      </c>
      <c r="AH38" s="106">
        <f t="shared" si="31"/>
        <v>0</v>
      </c>
      <c r="AI38" s="106">
        <f t="shared" ca="1" si="10"/>
        <v>-3200000</v>
      </c>
      <c r="AJ38" s="265">
        <f t="shared" ca="1" si="11"/>
        <v>-3200000</v>
      </c>
      <c r="AK38" s="231"/>
    </row>
    <row r="39" spans="1:39" ht="21" customHeight="1">
      <c r="A39" s="3">
        <f t="shared" si="30"/>
        <v>31</v>
      </c>
      <c r="B39" s="3" t="s">
        <v>185</v>
      </c>
      <c r="C39" s="3" t="s">
        <v>81</v>
      </c>
      <c r="D39" s="3" t="s">
        <v>206</v>
      </c>
      <c r="E39" s="110">
        <v>42201</v>
      </c>
      <c r="F39" s="111">
        <f t="shared" si="20"/>
        <v>0</v>
      </c>
      <c r="G39" s="22">
        <f t="shared" si="1"/>
        <v>3745000</v>
      </c>
      <c r="H39" s="28" t="s">
        <v>661</v>
      </c>
      <c r="I39" s="28">
        <v>1</v>
      </c>
      <c r="J39" s="277">
        <v>3745000</v>
      </c>
      <c r="K39" s="306">
        <f>VLOOKUP(H39,'thang luong moi'!B:I,'Bang luong (chaun)'!I39+1,0)</f>
        <v>4413750</v>
      </c>
      <c r="L39" s="315">
        <f t="shared" si="24"/>
        <v>0.15151515151515152</v>
      </c>
      <c r="M39" s="77" t="e">
        <f>VLOOKUP(C39,CC!$C$5:$AJ$67,34,0)</f>
        <v>#N/A</v>
      </c>
      <c r="N39" s="22" t="e">
        <f>K39/26*M39</f>
        <v>#N/A</v>
      </c>
      <c r="O39" s="22" t="e">
        <f>VLOOKUP(C39,CC!$C$5:$AM$67,36,0)</f>
        <v>#N/A</v>
      </c>
      <c r="P39" s="22" t="e">
        <f>VLOOKUP(C39,CC!$C$5:$BS$67,69,0)</f>
        <v>#N/A</v>
      </c>
      <c r="Q39" s="22" t="e">
        <f>VLOOKUP(C39,CC!$C$5:$BT$67,70,0)</f>
        <v>#N/A</v>
      </c>
      <c r="R39" s="22" t="e">
        <f>VLOOKUP(C39,CC!$C$5:$AM$67,37,0)</f>
        <v>#N/A</v>
      </c>
      <c r="S39" s="22" t="e">
        <f>VLOOKUP(C39,CC!$C$5:$AM$67,35,0)</f>
        <v>#N/A</v>
      </c>
      <c r="T39" s="22" t="e">
        <f>((K39/26)*M39)+(O39*(K39/26))+((P39/8)*1.5*(K39/26))+((Q39/8)*2*K39/26)+(S39*3*(K39/26)+(K39/26)*R39)</f>
        <v>#N/A</v>
      </c>
      <c r="U39" s="22" t="e">
        <f>VLOOKUP(C39,'Công tổng'!$C$53:$BY$67,66,0)-N39</f>
        <v>#N/A</v>
      </c>
      <c r="V39" s="22">
        <f>IF((F39-$V$3)&gt;0,F39%*K39,0)</f>
        <v>0</v>
      </c>
      <c r="W39" s="22">
        <f ca="1">(100%-SUMIF('chuyên cần'!$C$6:$AP$31,'Bang luong (chaun)'!C39,'chuyên cần'!$AP$7:$AP$31))*$W$3</f>
        <v>300000</v>
      </c>
      <c r="X39" s="22"/>
      <c r="Y39" s="22"/>
      <c r="Z39" s="22">
        <v>0</v>
      </c>
      <c r="AA39" s="22"/>
      <c r="AB39" s="199">
        <v>150000</v>
      </c>
      <c r="AC39" s="106" t="e">
        <f t="shared" ca="1" si="26"/>
        <v>#N/A</v>
      </c>
      <c r="AD39" s="203">
        <f t="shared" si="27"/>
        <v>3895000</v>
      </c>
      <c r="AE39" s="204">
        <f t="shared" si="28"/>
        <v>4563750</v>
      </c>
      <c r="AF39" s="204">
        <v>4269500</v>
      </c>
      <c r="AG39" s="106" t="e">
        <f>'ung luong'!#REF!</f>
        <v>#REF!</v>
      </c>
      <c r="AH39" s="106">
        <f>AM39*$AH$2</f>
        <v>0</v>
      </c>
      <c r="AI39" s="106" t="e">
        <f ca="1">AC39-AG39-AH39</f>
        <v>#N/A</v>
      </c>
      <c r="AJ39" s="106" t="e">
        <f ca="1">ROUND(AI39,-3)</f>
        <v>#N/A</v>
      </c>
      <c r="AK39" s="231"/>
    </row>
    <row r="40" spans="1:39" ht="21" customHeight="1">
      <c r="A40" s="3">
        <f t="shared" si="30"/>
        <v>32</v>
      </c>
      <c r="B40" s="3" t="s">
        <v>567</v>
      </c>
      <c r="C40" s="3" t="s">
        <v>571</v>
      </c>
      <c r="D40" s="3" t="s">
        <v>206</v>
      </c>
      <c r="E40" s="110">
        <v>42371</v>
      </c>
      <c r="F40" s="111">
        <f t="shared" si="20"/>
        <v>0</v>
      </c>
      <c r="G40" s="22">
        <f t="shared" si="1"/>
        <v>3745000</v>
      </c>
      <c r="H40" s="28" t="s">
        <v>661</v>
      </c>
      <c r="I40" s="28">
        <v>1</v>
      </c>
      <c r="J40" s="277">
        <v>3745000</v>
      </c>
      <c r="K40" s="306">
        <f>VLOOKUP(H40,'thang luong moi'!B:I,'Bang luong (chaun)'!I40+1,0)</f>
        <v>4413750</v>
      </c>
      <c r="L40" s="315">
        <f t="shared" si="24"/>
        <v>0.15151515151515152</v>
      </c>
      <c r="M40" s="77">
        <f>VLOOKUP(C40,CC!$C$5:$AJ$67,34,0)</f>
        <v>27</v>
      </c>
      <c r="N40" s="22">
        <f>K40/26*M40</f>
        <v>4583509.615384615</v>
      </c>
      <c r="O40" s="22">
        <f>VLOOKUP(C40,CC!$C$5:$AM$67,36,0)</f>
        <v>0</v>
      </c>
      <c r="P40" s="22">
        <f>VLOOKUP(C40,CC!$C$5:$BS$67,69,0)</f>
        <v>0</v>
      </c>
      <c r="Q40" s="22">
        <f>VLOOKUP(C40,CC!$C$5:$BT$67,70,0)</f>
        <v>0</v>
      </c>
      <c r="R40" s="22">
        <f>VLOOKUP(C40,CC!$C$5:$AM$67,37,0)</f>
        <v>0</v>
      </c>
      <c r="S40" s="22">
        <f>VLOOKUP(C40,CC!$C$5:$AM$67,35,0)</f>
        <v>0</v>
      </c>
      <c r="T40" s="22">
        <f>((K40/26)*M40)+(O40*(K40/26))+((P40/8)*1.5*(K40/26))+((Q40/8)*2*K40/26)+(S40*3*(K40/26)+(K40/26)*R40)</f>
        <v>4583509.615384615</v>
      </c>
      <c r="U40" s="22" t="e">
        <f>VLOOKUP(C40,'Công tổng'!$C$53:$BY$67,66,0)-N40</f>
        <v>#N/A</v>
      </c>
      <c r="V40" s="22">
        <f>IF((F40-$V$3)&gt;0,F40%*K40,0)</f>
        <v>0</v>
      </c>
      <c r="W40" s="22">
        <f ca="1">(100%-SUMIF('chuyên cần'!$C$6:$AP$31,'Bang luong (chaun)'!C40,'chuyên cần'!$AP$7:$AP$31))*$W$3</f>
        <v>300000</v>
      </c>
      <c r="X40" s="22"/>
      <c r="Y40" s="22"/>
      <c r="Z40" s="22">
        <v>0</v>
      </c>
      <c r="AA40" s="22"/>
      <c r="AB40" s="199">
        <v>300000</v>
      </c>
      <c r="AC40" s="106" t="e">
        <f t="shared" ca="1" si="26"/>
        <v>#N/A</v>
      </c>
      <c r="AD40" s="203">
        <f t="shared" si="27"/>
        <v>4045000</v>
      </c>
      <c r="AE40" s="204">
        <f t="shared" si="28"/>
        <v>4713750</v>
      </c>
      <c r="AF40" s="204">
        <v>4419500</v>
      </c>
      <c r="AG40" s="106" t="e">
        <f>'ung luong'!#REF!</f>
        <v>#REF!</v>
      </c>
      <c r="AH40" s="106">
        <f>AM40*$AH$2</f>
        <v>0</v>
      </c>
      <c r="AI40" s="106" t="e">
        <f ca="1">AC40-AG40-AH40</f>
        <v>#N/A</v>
      </c>
      <c r="AJ40" s="106" t="e">
        <f ca="1">ROUND(AI40,-3)</f>
        <v>#N/A</v>
      </c>
      <c r="AK40" s="231"/>
    </row>
    <row r="41" spans="1:39" s="10" customFormat="1" ht="21" hidden="1" customHeight="1">
      <c r="A41" s="23"/>
      <c r="B41" s="23"/>
      <c r="C41" s="23"/>
      <c r="D41" s="23"/>
      <c r="E41" s="23"/>
      <c r="F41" s="23"/>
      <c r="G41" s="25"/>
      <c r="H41" s="29"/>
      <c r="I41" s="29"/>
      <c r="J41" s="276"/>
      <c r="K41" s="34"/>
      <c r="L41" s="34"/>
      <c r="M41" s="232"/>
      <c r="N41" s="105"/>
      <c r="O41" s="105"/>
      <c r="P41" s="105"/>
      <c r="Q41" s="105"/>
      <c r="R41" s="105"/>
      <c r="S41" s="105"/>
      <c r="T41" s="34"/>
      <c r="U41" s="34"/>
      <c r="V41" s="174"/>
      <c r="W41" s="25"/>
      <c r="X41" s="34"/>
      <c r="Y41" s="22"/>
      <c r="Z41" s="34">
        <v>0</v>
      </c>
      <c r="AA41" s="34"/>
      <c r="AB41" s="203"/>
      <c r="AC41" s="34" t="e">
        <f ca="1">SUM(AC42:AC79)</f>
        <v>#N/A</v>
      </c>
      <c r="AD41" s="203"/>
      <c r="AE41" s="203"/>
      <c r="AF41" s="203"/>
      <c r="AG41" s="34" t="e">
        <f>SUM(AG42:AG79)</f>
        <v>#REF!</v>
      </c>
      <c r="AH41" s="34">
        <f>SUM(AH42:AH79)</f>
        <v>1393140</v>
      </c>
      <c r="AI41" s="34" t="e">
        <f ca="1">SUM(AI42:AI79)</f>
        <v>#N/A</v>
      </c>
      <c r="AJ41" s="34" t="e">
        <f ca="1">SUM(AJ42:AJ79)</f>
        <v>#N/A</v>
      </c>
      <c r="AK41" s="229"/>
      <c r="AL41" s="220"/>
      <c r="AM41" s="230"/>
    </row>
    <row r="42" spans="1:39" ht="21" customHeight="1">
      <c r="A42" s="3">
        <f>A40+1</f>
        <v>33</v>
      </c>
      <c r="B42" s="3" t="s">
        <v>186</v>
      </c>
      <c r="C42" s="3" t="s">
        <v>83</v>
      </c>
      <c r="D42" s="3" t="s">
        <v>207</v>
      </c>
      <c r="E42" s="110">
        <v>40462</v>
      </c>
      <c r="F42" s="111">
        <f t="shared" si="20"/>
        <v>5</v>
      </c>
      <c r="G42" s="22">
        <f t="shared" si="1"/>
        <v>3745000</v>
      </c>
      <c r="H42" s="28" t="s">
        <v>667</v>
      </c>
      <c r="I42" s="28">
        <v>1</v>
      </c>
      <c r="J42" s="277">
        <v>3745000</v>
      </c>
      <c r="K42" s="306">
        <f>VLOOKUP(H42,'thang luong moi'!B:I,'Bang luong (chaun)'!I42+1,0)</f>
        <v>4213125</v>
      </c>
      <c r="L42" s="315">
        <f t="shared" ref="L42:L79" si="32">(K42-J42)/K42</f>
        <v>0.1111111111111111</v>
      </c>
      <c r="M42" s="77" t="e">
        <f>VLOOKUP(C42,CC!$C$5:$AJ$67,34,0)</f>
        <v>#N/A</v>
      </c>
      <c r="N42" s="22" t="e">
        <f t="shared" si="9"/>
        <v>#N/A</v>
      </c>
      <c r="O42" s="22" t="e">
        <f>VLOOKUP(C42,CC!$C$5:$AM$67,36,0)</f>
        <v>#N/A</v>
      </c>
      <c r="P42" s="22" t="e">
        <f>VLOOKUP(C42,CC!$C$5:$BS$67,69,0)</f>
        <v>#N/A</v>
      </c>
      <c r="Q42" s="22" t="e">
        <f>VLOOKUP(C42,CC!$C$5:$BT$67,70,0)</f>
        <v>#N/A</v>
      </c>
      <c r="R42" s="22" t="e">
        <f>VLOOKUP(C42,CC!$C$5:$AM$67,37,0)</f>
        <v>#N/A</v>
      </c>
      <c r="S42" s="22" t="e">
        <f>VLOOKUP(C42,CC!$C$5:$AM$67,35,0)</f>
        <v>#N/A</v>
      </c>
      <c r="T42" s="22" t="e">
        <f t="shared" si="8"/>
        <v>#N/A</v>
      </c>
      <c r="U42" s="22" t="e">
        <f>VLOOKUP(C42,'Công tổng'!$C$53:$BY$67,66,0)-N42</f>
        <v>#N/A</v>
      </c>
      <c r="V42" s="22">
        <f t="shared" ref="V42:V56" si="33">IF((F42-$V$3)&gt;0,F42%*K42,0)</f>
        <v>210656.25</v>
      </c>
      <c r="W42" s="22">
        <f ca="1">(100%-SUMIF('chuyên cần'!$C$6:$AP$31,'Bang luong (chaun)'!C42,'chuyên cần'!$AP$7:$AP$31))*$W$3</f>
        <v>300000</v>
      </c>
      <c r="X42" s="22"/>
      <c r="Y42" s="22"/>
      <c r="Z42" s="22"/>
      <c r="AA42" s="22"/>
      <c r="AB42" s="199">
        <v>187250</v>
      </c>
      <c r="AC42" s="106" t="e">
        <f t="shared" ref="AC42:AC79" ca="1" si="34">T42+V42+W42+Z42+U42</f>
        <v>#N/A</v>
      </c>
      <c r="AD42" s="203">
        <f t="shared" ref="AD42:AD79" si="35">J42+AB42</f>
        <v>3932250</v>
      </c>
      <c r="AE42" s="204">
        <f t="shared" ref="AE42:AE78" si="36">K42+AB42</f>
        <v>4400375</v>
      </c>
      <c r="AF42" s="204">
        <v>4119500</v>
      </c>
      <c r="AG42" s="106" t="e">
        <f>'ung luong'!#REF!</f>
        <v>#REF!</v>
      </c>
      <c r="AH42" s="106">
        <f t="shared" ref="AH42:AH55" si="37">AM42*$AH$2</f>
        <v>348285</v>
      </c>
      <c r="AI42" s="106" t="e">
        <f t="shared" ca="1" si="10"/>
        <v>#N/A</v>
      </c>
      <c r="AJ42" s="106" t="e">
        <f t="shared" ca="1" si="11"/>
        <v>#N/A</v>
      </c>
      <c r="AK42" s="231"/>
      <c r="AM42" s="220">
        <v>3317000</v>
      </c>
    </row>
    <row r="43" spans="1:39" ht="21" customHeight="1">
      <c r="A43" s="3">
        <f>A42+1</f>
        <v>34</v>
      </c>
      <c r="B43" s="3" t="s">
        <v>187</v>
      </c>
      <c r="C43" s="3" t="s">
        <v>84</v>
      </c>
      <c r="D43" s="3" t="s">
        <v>207</v>
      </c>
      <c r="E43" s="110">
        <v>40596</v>
      </c>
      <c r="F43" s="111">
        <f t="shared" si="20"/>
        <v>5</v>
      </c>
      <c r="G43" s="22">
        <f t="shared" si="1"/>
        <v>3745000</v>
      </c>
      <c r="H43" s="28" t="s">
        <v>667</v>
      </c>
      <c r="I43" s="28">
        <v>1</v>
      </c>
      <c r="J43" s="277">
        <v>3745000</v>
      </c>
      <c r="K43" s="306">
        <f>VLOOKUP(H43,'thang luong moi'!B:I,'Bang luong (chaun)'!I43+1,0)</f>
        <v>4213125</v>
      </c>
      <c r="L43" s="315">
        <f t="shared" si="32"/>
        <v>0.1111111111111111</v>
      </c>
      <c r="M43" s="77" t="e">
        <f>VLOOKUP(C43,CC!$C$5:$AJ$67,34,0)</f>
        <v>#N/A</v>
      </c>
      <c r="N43" s="22" t="e">
        <f t="shared" si="9"/>
        <v>#N/A</v>
      </c>
      <c r="O43" s="22" t="e">
        <f>VLOOKUP(C43,CC!$C$5:$AM$67,36,0)</f>
        <v>#N/A</v>
      </c>
      <c r="P43" s="22" t="e">
        <f>VLOOKUP(C43,CC!$C$5:$BS$67,69,0)</f>
        <v>#N/A</v>
      </c>
      <c r="Q43" s="22" t="e">
        <f>VLOOKUP(C43,CC!$C$5:$BT$67,70,0)</f>
        <v>#N/A</v>
      </c>
      <c r="R43" s="22" t="e">
        <f>VLOOKUP(C43,CC!$C$5:$AM$67,37,0)</f>
        <v>#N/A</v>
      </c>
      <c r="S43" s="22" t="e">
        <f>VLOOKUP(C43,CC!$C$5:$AM$67,35,0)</f>
        <v>#N/A</v>
      </c>
      <c r="T43" s="22" t="e">
        <f t="shared" si="8"/>
        <v>#N/A</v>
      </c>
      <c r="U43" s="22" t="e">
        <f>VLOOKUP(C43,'Công tổng'!$C$53:$BY$67,66,0)-N43</f>
        <v>#N/A</v>
      </c>
      <c r="V43" s="22">
        <f t="shared" si="33"/>
        <v>210656.25</v>
      </c>
      <c r="W43" s="22">
        <f ca="1">(100%-SUMIF('chuyên cần'!$C$6:$AP$31,'Bang luong (chaun)'!C43,'chuyên cần'!$AP$7:$AP$31))*$W$3</f>
        <v>300000</v>
      </c>
      <c r="X43" s="22"/>
      <c r="Y43" s="22"/>
      <c r="Z43" s="22"/>
      <c r="AA43" s="22"/>
      <c r="AB43" s="199">
        <v>487250</v>
      </c>
      <c r="AC43" s="106" t="e">
        <f t="shared" ca="1" si="34"/>
        <v>#N/A</v>
      </c>
      <c r="AD43" s="203">
        <f t="shared" si="35"/>
        <v>4232250</v>
      </c>
      <c r="AE43" s="204">
        <f t="shared" si="36"/>
        <v>4700375</v>
      </c>
      <c r="AF43" s="204">
        <v>4419500</v>
      </c>
      <c r="AG43" s="106" t="e">
        <f>'ung luong'!#REF!</f>
        <v>#REF!</v>
      </c>
      <c r="AH43" s="106">
        <f t="shared" si="37"/>
        <v>348285</v>
      </c>
      <c r="AI43" s="106" t="e">
        <f t="shared" ca="1" si="10"/>
        <v>#N/A</v>
      </c>
      <c r="AJ43" s="106" t="e">
        <f t="shared" ca="1" si="11"/>
        <v>#N/A</v>
      </c>
      <c r="AK43" s="231"/>
      <c r="AM43" s="220">
        <v>3317000</v>
      </c>
    </row>
    <row r="44" spans="1:39" ht="21" customHeight="1">
      <c r="A44" s="3">
        <f t="shared" ref="A44:A79" si="38">A43+1</f>
        <v>35</v>
      </c>
      <c r="B44" s="3" t="s">
        <v>188</v>
      </c>
      <c r="C44" s="3" t="s">
        <v>85</v>
      </c>
      <c r="D44" s="3" t="s">
        <v>207</v>
      </c>
      <c r="E44" s="110">
        <v>41682</v>
      </c>
      <c r="F44" s="111">
        <f t="shared" si="20"/>
        <v>2</v>
      </c>
      <c r="G44" s="22">
        <f t="shared" si="1"/>
        <v>3745000</v>
      </c>
      <c r="H44" s="28" t="s">
        <v>667</v>
      </c>
      <c r="I44" s="28">
        <v>1</v>
      </c>
      <c r="J44" s="277">
        <v>3745000</v>
      </c>
      <c r="K44" s="306">
        <f>VLOOKUP(H44,'thang luong moi'!B:I,'Bang luong (chaun)'!I44+1,0)</f>
        <v>4213125</v>
      </c>
      <c r="L44" s="315">
        <f t="shared" si="32"/>
        <v>0.1111111111111111</v>
      </c>
      <c r="M44" s="77" t="e">
        <f>VLOOKUP(C44,CC!$C$5:$AJ$67,34,0)</f>
        <v>#N/A</v>
      </c>
      <c r="N44" s="22" t="e">
        <f t="shared" si="9"/>
        <v>#N/A</v>
      </c>
      <c r="O44" s="22" t="e">
        <f>VLOOKUP(C44,CC!$C$5:$AM$67,36,0)</f>
        <v>#N/A</v>
      </c>
      <c r="P44" s="22" t="e">
        <f>VLOOKUP(C44,CC!$C$5:$BS$67,69,0)</f>
        <v>#N/A</v>
      </c>
      <c r="Q44" s="22" t="e">
        <f>VLOOKUP(C44,CC!$C$5:$BT$67,70,0)</f>
        <v>#N/A</v>
      </c>
      <c r="R44" s="22" t="e">
        <f>VLOOKUP(C44,CC!$C$5:$AM$67,37,0)</f>
        <v>#N/A</v>
      </c>
      <c r="S44" s="22" t="e">
        <f>VLOOKUP(C44,CC!$C$5:$AM$67,35,0)</f>
        <v>#N/A</v>
      </c>
      <c r="T44" s="22" t="e">
        <f t="shared" si="8"/>
        <v>#N/A</v>
      </c>
      <c r="U44" s="22" t="e">
        <f>VLOOKUP(C44,'Công tổng'!$C$53:$BY$67,66,0)-N44</f>
        <v>#N/A</v>
      </c>
      <c r="V44" s="22">
        <f t="shared" si="33"/>
        <v>84262.5</v>
      </c>
      <c r="W44" s="22">
        <f ca="1">(100%-SUMIF('chuyên cần'!$C$6:$AP$31,'Bang luong (chaun)'!C44,'chuyên cần'!$AP$7:$AP$31))*$W$3</f>
        <v>300000</v>
      </c>
      <c r="X44" s="22"/>
      <c r="Y44" s="22"/>
      <c r="Z44" s="22"/>
      <c r="AA44" s="22"/>
      <c r="AB44" s="199">
        <v>374900</v>
      </c>
      <c r="AC44" s="106" t="e">
        <f t="shared" ca="1" si="34"/>
        <v>#N/A</v>
      </c>
      <c r="AD44" s="203">
        <f t="shared" si="35"/>
        <v>4119900</v>
      </c>
      <c r="AE44" s="204">
        <f t="shared" si="36"/>
        <v>4588025</v>
      </c>
      <c r="AF44" s="204">
        <v>4307150</v>
      </c>
      <c r="AG44" s="106" t="e">
        <f>'ung luong'!#REF!</f>
        <v>#REF!</v>
      </c>
      <c r="AH44" s="106">
        <f t="shared" si="37"/>
        <v>0</v>
      </c>
      <c r="AI44" s="106" t="e">
        <f t="shared" ca="1" si="10"/>
        <v>#N/A</v>
      </c>
      <c r="AJ44" s="106" t="e">
        <f t="shared" ca="1" si="11"/>
        <v>#N/A</v>
      </c>
      <c r="AK44" s="231"/>
    </row>
    <row r="45" spans="1:39" ht="21" customHeight="1">
      <c r="A45" s="3">
        <f t="shared" si="38"/>
        <v>36</v>
      </c>
      <c r="B45" s="3" t="s">
        <v>189</v>
      </c>
      <c r="C45" s="3" t="s">
        <v>239</v>
      </c>
      <c r="D45" s="3" t="s">
        <v>207</v>
      </c>
      <c r="E45" s="110">
        <v>41706</v>
      </c>
      <c r="F45" s="111">
        <f t="shared" si="20"/>
        <v>1</v>
      </c>
      <c r="G45" s="22">
        <f t="shared" si="1"/>
        <v>3745000</v>
      </c>
      <c r="H45" s="28" t="s">
        <v>667</v>
      </c>
      <c r="I45" s="28">
        <v>1</v>
      </c>
      <c r="J45" s="277">
        <v>3745000</v>
      </c>
      <c r="K45" s="306">
        <f>VLOOKUP(H45,'thang luong moi'!B:I,'Bang luong (chaun)'!I45+1,0)</f>
        <v>4213125</v>
      </c>
      <c r="L45" s="315">
        <f t="shared" si="32"/>
        <v>0.1111111111111111</v>
      </c>
      <c r="M45" s="77">
        <f>VLOOKUP(C45,CC!$C$5:$AJ$67,34,0)</f>
        <v>27</v>
      </c>
      <c r="N45" s="22">
        <f t="shared" si="9"/>
        <v>4375168.269230769</v>
      </c>
      <c r="O45" s="22">
        <f>VLOOKUP(C45,CC!$C$5:$AM$67,36,0)</f>
        <v>0</v>
      </c>
      <c r="P45" s="22">
        <f>VLOOKUP(C45,CC!$C$5:$BS$67,69,0)</f>
        <v>0</v>
      </c>
      <c r="Q45" s="22">
        <f>VLOOKUP(C45,CC!$C$5:$BT$67,70,0)</f>
        <v>0</v>
      </c>
      <c r="R45" s="22">
        <f>VLOOKUP(C45,CC!$C$5:$AM$67,37,0)</f>
        <v>0</v>
      </c>
      <c r="S45" s="22">
        <f>VLOOKUP(C45,CC!$C$5:$AM$67,35,0)</f>
        <v>0</v>
      </c>
      <c r="T45" s="22">
        <f t="shared" si="8"/>
        <v>4375168.269230769</v>
      </c>
      <c r="U45" s="22" t="e">
        <f>VLOOKUP(C45,'Công tổng'!$C$53:$BY$67,66,0)-N45</f>
        <v>#N/A</v>
      </c>
      <c r="V45" s="22">
        <f t="shared" si="33"/>
        <v>0</v>
      </c>
      <c r="W45" s="22">
        <f ca="1">(100%-SUMIF('chuyên cần'!$C$6:$AP$31,'Bang luong (chaun)'!C45,'chuyên cần'!$AP$7:$AP$31))*$W$3</f>
        <v>300000</v>
      </c>
      <c r="X45" s="22"/>
      <c r="Y45" s="22"/>
      <c r="Z45" s="22"/>
      <c r="AA45" s="22"/>
      <c r="AB45" s="199">
        <v>300000</v>
      </c>
      <c r="AC45" s="106" t="e">
        <f t="shared" ca="1" si="34"/>
        <v>#N/A</v>
      </c>
      <c r="AD45" s="203">
        <f t="shared" si="35"/>
        <v>4045000</v>
      </c>
      <c r="AE45" s="204">
        <f t="shared" si="36"/>
        <v>4513125</v>
      </c>
      <c r="AF45" s="204">
        <v>4232250</v>
      </c>
      <c r="AG45" s="106">
        <f>'ung luong'!F125</f>
        <v>3000000</v>
      </c>
      <c r="AH45" s="106">
        <f t="shared" si="37"/>
        <v>0</v>
      </c>
      <c r="AI45" s="106" t="e">
        <f t="shared" ca="1" si="10"/>
        <v>#N/A</v>
      </c>
      <c r="AJ45" s="106" t="e">
        <f t="shared" ca="1" si="11"/>
        <v>#N/A</v>
      </c>
      <c r="AK45" s="231"/>
    </row>
    <row r="46" spans="1:39" ht="21" customHeight="1">
      <c r="A46" s="3">
        <f t="shared" si="38"/>
        <v>37</v>
      </c>
      <c r="B46" s="3" t="s">
        <v>190</v>
      </c>
      <c r="C46" s="3" t="s">
        <v>86</v>
      </c>
      <c r="D46" s="3" t="s">
        <v>207</v>
      </c>
      <c r="E46" s="110">
        <v>41786</v>
      </c>
      <c r="F46" s="111">
        <f t="shared" si="20"/>
        <v>1</v>
      </c>
      <c r="G46" s="22">
        <f t="shared" si="1"/>
        <v>3745000</v>
      </c>
      <c r="H46" s="28" t="s">
        <v>667</v>
      </c>
      <c r="I46" s="28">
        <v>1</v>
      </c>
      <c r="J46" s="277">
        <v>3745000</v>
      </c>
      <c r="K46" s="306">
        <f>VLOOKUP(H46,'thang luong moi'!B:I,'Bang luong (chaun)'!I46+1,0)</f>
        <v>4213125</v>
      </c>
      <c r="L46" s="315">
        <f t="shared" si="32"/>
        <v>0.1111111111111111</v>
      </c>
      <c r="M46" s="77">
        <f>VLOOKUP(C46,CC!$C$5:$AJ$67,34,0)</f>
        <v>27</v>
      </c>
      <c r="N46" s="22">
        <f t="shared" si="9"/>
        <v>4375168.269230769</v>
      </c>
      <c r="O46" s="22">
        <f>VLOOKUP(C46,CC!$C$5:$AM$67,36,0)</f>
        <v>0.5</v>
      </c>
      <c r="P46" s="22">
        <f>VLOOKUP(C46,CC!$C$5:$BS$67,69,0)</f>
        <v>0</v>
      </c>
      <c r="Q46" s="22">
        <f>VLOOKUP(C46,CC!$C$5:$BT$67,70,0)</f>
        <v>0</v>
      </c>
      <c r="R46" s="22">
        <f>VLOOKUP(C46,CC!$C$5:$AM$67,37,0)</f>
        <v>0</v>
      </c>
      <c r="S46" s="22">
        <f>VLOOKUP(C46,CC!$C$5:$AM$67,35,0)</f>
        <v>0</v>
      </c>
      <c r="T46" s="22">
        <f t="shared" si="8"/>
        <v>4456189.903846154</v>
      </c>
      <c r="U46" s="22" t="e">
        <f>VLOOKUP(C46,'Công tổng'!$C$53:$BY$67,66,0)-N46</f>
        <v>#N/A</v>
      </c>
      <c r="V46" s="22">
        <f t="shared" si="33"/>
        <v>0</v>
      </c>
      <c r="W46" s="22">
        <f ca="1">(100%-SUMIF('chuyên cần'!$C$6:$AP$31,'Bang luong (chaun)'!C46,'chuyên cần'!$AP$7:$AP$31))*$W$3</f>
        <v>300000</v>
      </c>
      <c r="X46" s="22"/>
      <c r="Y46" s="22"/>
      <c r="Z46" s="22"/>
      <c r="AA46" s="22"/>
      <c r="AB46" s="199">
        <v>150000</v>
      </c>
      <c r="AC46" s="106" t="e">
        <f t="shared" ca="1" si="34"/>
        <v>#N/A</v>
      </c>
      <c r="AD46" s="203">
        <f t="shared" si="35"/>
        <v>3895000</v>
      </c>
      <c r="AE46" s="204">
        <f t="shared" si="36"/>
        <v>4363125</v>
      </c>
      <c r="AF46" s="204">
        <v>4082250</v>
      </c>
      <c r="AG46" s="106" t="e">
        <f>'ung luong'!#REF!</f>
        <v>#REF!</v>
      </c>
      <c r="AH46" s="106">
        <f t="shared" si="37"/>
        <v>0</v>
      </c>
      <c r="AI46" s="106" t="e">
        <f t="shared" ca="1" si="10"/>
        <v>#N/A</v>
      </c>
      <c r="AJ46" s="106" t="e">
        <f t="shared" ca="1" si="11"/>
        <v>#N/A</v>
      </c>
      <c r="AK46" s="231"/>
    </row>
    <row r="47" spans="1:39" ht="21" customHeight="1">
      <c r="A47" s="3">
        <f t="shared" si="38"/>
        <v>38</v>
      </c>
      <c r="B47" s="3" t="s">
        <v>191</v>
      </c>
      <c r="C47" s="3" t="s">
        <v>90</v>
      </c>
      <c r="D47" s="3" t="s">
        <v>207</v>
      </c>
      <c r="E47" s="110">
        <v>41956</v>
      </c>
      <c r="F47" s="111">
        <f t="shared" si="20"/>
        <v>1</v>
      </c>
      <c r="G47" s="22">
        <f t="shared" si="1"/>
        <v>3745000</v>
      </c>
      <c r="H47" s="28" t="s">
        <v>667</v>
      </c>
      <c r="I47" s="28">
        <v>1</v>
      </c>
      <c r="J47" s="277">
        <v>3745000</v>
      </c>
      <c r="K47" s="306">
        <f>VLOOKUP(H47,'thang luong moi'!B:I,'Bang luong (chaun)'!I47+1,0)</f>
        <v>4213125</v>
      </c>
      <c r="L47" s="315">
        <f t="shared" si="32"/>
        <v>0.1111111111111111</v>
      </c>
      <c r="M47" s="77" t="e">
        <f>VLOOKUP(C47,CC!$C$5:$AJ$67,34,0)</f>
        <v>#N/A</v>
      </c>
      <c r="N47" s="22" t="e">
        <f t="shared" si="9"/>
        <v>#N/A</v>
      </c>
      <c r="O47" s="22" t="e">
        <f>VLOOKUP(C47,CC!$C$5:$AM$67,36,0)</f>
        <v>#N/A</v>
      </c>
      <c r="P47" s="22" t="e">
        <f>VLOOKUP(C47,CC!$C$5:$BS$67,69,0)</f>
        <v>#N/A</v>
      </c>
      <c r="Q47" s="22" t="e">
        <f>VLOOKUP(C47,CC!$C$5:$BT$67,70,0)</f>
        <v>#N/A</v>
      </c>
      <c r="R47" s="22" t="e">
        <f>VLOOKUP(C47,CC!$C$5:$AM$67,37,0)</f>
        <v>#N/A</v>
      </c>
      <c r="S47" s="22" t="e">
        <f>VLOOKUP(C47,CC!$C$5:$AM$67,35,0)</f>
        <v>#N/A</v>
      </c>
      <c r="T47" s="22" t="e">
        <f t="shared" si="8"/>
        <v>#N/A</v>
      </c>
      <c r="U47" s="22" t="e">
        <f>VLOOKUP(C47,'Công tổng'!$C$53:$BY$67,66,0)-N47</f>
        <v>#N/A</v>
      </c>
      <c r="V47" s="22">
        <f t="shared" si="33"/>
        <v>0</v>
      </c>
      <c r="W47" s="22">
        <f ca="1">(100%-SUMIF('chuyên cần'!$C$6:$AP$31,'Bang luong (chaun)'!C47,'chuyên cần'!$AP$7:$AP$31))*$W$3</f>
        <v>300000</v>
      </c>
      <c r="X47" s="22"/>
      <c r="Y47" s="22"/>
      <c r="Z47" s="22"/>
      <c r="AA47" s="22"/>
      <c r="AB47" s="199">
        <v>75000</v>
      </c>
      <c r="AC47" s="106" t="e">
        <f t="shared" ca="1" si="34"/>
        <v>#N/A</v>
      </c>
      <c r="AD47" s="203">
        <f t="shared" si="35"/>
        <v>3820000</v>
      </c>
      <c r="AE47" s="204">
        <f t="shared" si="36"/>
        <v>4288125</v>
      </c>
      <c r="AF47" s="204">
        <v>4007250</v>
      </c>
      <c r="AG47" s="106" t="e">
        <f>'ung luong'!#REF!</f>
        <v>#REF!</v>
      </c>
      <c r="AH47" s="106">
        <f t="shared" si="37"/>
        <v>0</v>
      </c>
      <c r="AI47" s="106" t="e">
        <f t="shared" ca="1" si="10"/>
        <v>#N/A</v>
      </c>
      <c r="AJ47" s="106" t="e">
        <f t="shared" ca="1" si="11"/>
        <v>#N/A</v>
      </c>
      <c r="AK47" s="231"/>
    </row>
    <row r="48" spans="1:39" ht="21" customHeight="1">
      <c r="A48" s="3">
        <f t="shared" si="38"/>
        <v>39</v>
      </c>
      <c r="B48" s="3" t="s">
        <v>192</v>
      </c>
      <c r="C48" s="3" t="s">
        <v>91</v>
      </c>
      <c r="D48" s="3" t="s">
        <v>207</v>
      </c>
      <c r="E48" s="110">
        <v>41967</v>
      </c>
      <c r="F48" s="111">
        <f t="shared" si="20"/>
        <v>1</v>
      </c>
      <c r="G48" s="22">
        <f t="shared" si="1"/>
        <v>3745000</v>
      </c>
      <c r="H48" s="28" t="s">
        <v>667</v>
      </c>
      <c r="I48" s="28">
        <v>1</v>
      </c>
      <c r="J48" s="277">
        <v>3745000</v>
      </c>
      <c r="K48" s="306">
        <f>VLOOKUP(H48,'thang luong moi'!B:I,'Bang luong (chaun)'!I48+1,0)</f>
        <v>4213125</v>
      </c>
      <c r="L48" s="315">
        <f t="shared" si="32"/>
        <v>0.1111111111111111</v>
      </c>
      <c r="M48" s="77">
        <f>VLOOKUP(C48,CC!$C$5:$AJ$67,34,0)</f>
        <v>27</v>
      </c>
      <c r="N48" s="22">
        <f t="shared" si="9"/>
        <v>4375168.269230769</v>
      </c>
      <c r="O48" s="22">
        <f>VLOOKUP(C48,CC!$C$5:$AM$67,36,0)</f>
        <v>0</v>
      </c>
      <c r="P48" s="22">
        <f>VLOOKUP(C48,CC!$C$5:$BS$67,69,0)</f>
        <v>0</v>
      </c>
      <c r="Q48" s="22">
        <f>VLOOKUP(C48,CC!$C$5:$BT$67,70,0)</f>
        <v>0</v>
      </c>
      <c r="R48" s="22">
        <f>VLOOKUP(C48,CC!$C$5:$AM$67,37,0)</f>
        <v>0</v>
      </c>
      <c r="S48" s="22">
        <f>VLOOKUP(C48,CC!$C$5:$AM$67,35,0)</f>
        <v>0</v>
      </c>
      <c r="T48" s="22">
        <f t="shared" si="8"/>
        <v>4375168.269230769</v>
      </c>
      <c r="U48" s="22">
        <f>VLOOKUP(C48,'Công tổng'!$C$53:$BY$67,66,0)-N48</f>
        <v>-4375168.269230769</v>
      </c>
      <c r="V48" s="22">
        <f t="shared" si="33"/>
        <v>0</v>
      </c>
      <c r="W48" s="22">
        <f ca="1">(100%-SUMIF('chuyên cần'!$C$6:$AP$31,'Bang luong (chaun)'!C48,'chuyên cần'!$AP$7:$AP$31))*$W$3</f>
        <v>300000</v>
      </c>
      <c r="X48" s="22"/>
      <c r="Y48" s="22"/>
      <c r="Z48" s="22"/>
      <c r="AA48" s="22"/>
      <c r="AB48" s="199">
        <v>150000</v>
      </c>
      <c r="AC48" s="106">
        <f t="shared" ca="1" si="34"/>
        <v>300000</v>
      </c>
      <c r="AD48" s="203">
        <f t="shared" si="35"/>
        <v>3895000</v>
      </c>
      <c r="AE48" s="204">
        <f t="shared" si="36"/>
        <v>4363125</v>
      </c>
      <c r="AF48" s="204">
        <v>4082250</v>
      </c>
      <c r="AG48" s="106">
        <f>'ung luong'!F91</f>
        <v>3000000</v>
      </c>
      <c r="AH48" s="106">
        <f t="shared" si="37"/>
        <v>0</v>
      </c>
      <c r="AI48" s="106">
        <f t="shared" ca="1" si="10"/>
        <v>-2700000</v>
      </c>
      <c r="AJ48" s="106">
        <f t="shared" ca="1" si="11"/>
        <v>-2700000</v>
      </c>
      <c r="AK48" s="231"/>
    </row>
    <row r="49" spans="1:39" ht="21" customHeight="1">
      <c r="A49" s="3">
        <f t="shared" si="38"/>
        <v>40</v>
      </c>
      <c r="B49" s="3" t="s">
        <v>194</v>
      </c>
      <c r="C49" s="3" t="s">
        <v>240</v>
      </c>
      <c r="D49" s="3" t="s">
        <v>207</v>
      </c>
      <c r="E49" s="110">
        <v>42065</v>
      </c>
      <c r="F49" s="111">
        <f t="shared" si="20"/>
        <v>0</v>
      </c>
      <c r="G49" s="22">
        <f t="shared" si="1"/>
        <v>3745000</v>
      </c>
      <c r="H49" s="28" t="s">
        <v>667</v>
      </c>
      <c r="I49" s="28">
        <v>1</v>
      </c>
      <c r="J49" s="277">
        <v>3745000</v>
      </c>
      <c r="K49" s="306">
        <f>VLOOKUP(H49,'thang luong moi'!B:I,'Bang luong (chaun)'!I49+1,0)</f>
        <v>4213125</v>
      </c>
      <c r="L49" s="315">
        <f t="shared" si="32"/>
        <v>0.1111111111111111</v>
      </c>
      <c r="M49" s="77" t="e">
        <f>VLOOKUP(C49,CC!$C$5:$AJ$67,34,0)</f>
        <v>#N/A</v>
      </c>
      <c r="N49" s="22" t="e">
        <f t="shared" si="9"/>
        <v>#N/A</v>
      </c>
      <c r="O49" s="22" t="e">
        <f>VLOOKUP(C49,CC!$C$5:$AM$67,36,0)</f>
        <v>#N/A</v>
      </c>
      <c r="P49" s="22" t="e">
        <f>VLOOKUP(C49,CC!$C$5:$BS$67,69,0)</f>
        <v>#N/A</v>
      </c>
      <c r="Q49" s="22" t="e">
        <f>VLOOKUP(C49,CC!$C$5:$BT$67,70,0)</f>
        <v>#N/A</v>
      </c>
      <c r="R49" s="22" t="e">
        <f>VLOOKUP(C49,CC!$C$5:$AM$67,37,0)</f>
        <v>#N/A</v>
      </c>
      <c r="S49" s="22" t="e">
        <f>VLOOKUP(C49,CC!$C$5:$AM$67,35,0)</f>
        <v>#N/A</v>
      </c>
      <c r="T49" s="22" t="e">
        <f t="shared" si="8"/>
        <v>#N/A</v>
      </c>
      <c r="U49" s="22" t="e">
        <f>VLOOKUP(C49,'Công tổng'!$C$53:$BY$67,66,0)-N49</f>
        <v>#N/A</v>
      </c>
      <c r="V49" s="22">
        <f t="shared" si="33"/>
        <v>0</v>
      </c>
      <c r="W49" s="22">
        <f ca="1">(100%-SUMIF('chuyên cần'!$C$6:$AP$31,'Bang luong (chaun)'!C49,'chuyên cần'!$AP$7:$AP$31))*$W$3</f>
        <v>300000</v>
      </c>
      <c r="X49" s="22"/>
      <c r="Y49" s="22"/>
      <c r="Z49" s="22"/>
      <c r="AA49" s="22"/>
      <c r="AB49" s="199">
        <v>150000</v>
      </c>
      <c r="AC49" s="106" t="e">
        <f t="shared" ca="1" si="34"/>
        <v>#N/A</v>
      </c>
      <c r="AD49" s="203">
        <f t="shared" si="35"/>
        <v>3895000</v>
      </c>
      <c r="AE49" s="204">
        <f t="shared" si="36"/>
        <v>4363125</v>
      </c>
      <c r="AF49" s="204">
        <v>4082250</v>
      </c>
      <c r="AG49" s="106">
        <f>'ung luong'!F74</f>
        <v>4000000</v>
      </c>
      <c r="AH49" s="106">
        <f t="shared" si="37"/>
        <v>0</v>
      </c>
      <c r="AI49" s="106" t="e">
        <f t="shared" ca="1" si="10"/>
        <v>#N/A</v>
      </c>
      <c r="AJ49" s="106" t="e">
        <f t="shared" ca="1" si="11"/>
        <v>#N/A</v>
      </c>
      <c r="AK49" s="231"/>
    </row>
    <row r="50" spans="1:39" ht="21" customHeight="1">
      <c r="A50" s="3">
        <f t="shared" si="38"/>
        <v>41</v>
      </c>
      <c r="B50" s="3" t="s">
        <v>195</v>
      </c>
      <c r="C50" s="3" t="s">
        <v>369</v>
      </c>
      <c r="D50" s="3" t="s">
        <v>207</v>
      </c>
      <c r="E50" s="110">
        <v>42066</v>
      </c>
      <c r="F50" s="111">
        <f t="shared" si="20"/>
        <v>0</v>
      </c>
      <c r="G50" s="22">
        <f t="shared" si="1"/>
        <v>3745000</v>
      </c>
      <c r="H50" s="28" t="s">
        <v>667</v>
      </c>
      <c r="I50" s="28">
        <v>1</v>
      </c>
      <c r="J50" s="277">
        <v>3745000</v>
      </c>
      <c r="K50" s="306">
        <f>VLOOKUP(H50,'thang luong moi'!B:I,'Bang luong (chaun)'!I50+1,0)</f>
        <v>4213125</v>
      </c>
      <c r="L50" s="315">
        <f t="shared" si="32"/>
        <v>0.1111111111111111</v>
      </c>
      <c r="M50" s="77">
        <f>VLOOKUP(C50,CC!$C$5:$AJ$67,34,0)</f>
        <v>27</v>
      </c>
      <c r="N50" s="22">
        <f t="shared" si="9"/>
        <v>4375168.269230769</v>
      </c>
      <c r="O50" s="22">
        <f>VLOOKUP(C50,CC!$C$5:$AM$67,36,0)</f>
        <v>0</v>
      </c>
      <c r="P50" s="22">
        <f>VLOOKUP(C50,CC!$C$5:$BS$67,69,0)</f>
        <v>0</v>
      </c>
      <c r="Q50" s="22">
        <f>VLOOKUP(C50,CC!$C$5:$BT$67,70,0)</f>
        <v>0</v>
      </c>
      <c r="R50" s="22">
        <f>VLOOKUP(C50,CC!$C$5:$AM$67,37,0)</f>
        <v>0</v>
      </c>
      <c r="S50" s="22">
        <f>VLOOKUP(C50,CC!$C$5:$AM$67,35,0)</f>
        <v>0</v>
      </c>
      <c r="T50" s="22">
        <f t="shared" si="8"/>
        <v>4375168.269230769</v>
      </c>
      <c r="U50" s="22">
        <f>VLOOKUP(C50,'Công tổng'!$C$53:$BY$67,66,0)-N50</f>
        <v>-4375168.269230769</v>
      </c>
      <c r="V50" s="22">
        <f t="shared" si="33"/>
        <v>0</v>
      </c>
      <c r="W50" s="22">
        <f ca="1">(100%-SUMIF('chuyên cần'!$C$6:$AP$31,'Bang luong (chaun)'!C50,'chuyên cần'!$AP$7:$AP$31))*$W$3</f>
        <v>300000</v>
      </c>
      <c r="X50" s="22"/>
      <c r="Y50" s="22"/>
      <c r="Z50" s="22"/>
      <c r="AA50" s="22"/>
      <c r="AB50" s="199">
        <v>300000</v>
      </c>
      <c r="AC50" s="106">
        <f t="shared" ca="1" si="34"/>
        <v>300000</v>
      </c>
      <c r="AD50" s="203">
        <f t="shared" si="35"/>
        <v>4045000</v>
      </c>
      <c r="AE50" s="204">
        <f t="shared" si="36"/>
        <v>4513125</v>
      </c>
      <c r="AF50" s="204">
        <v>4232250</v>
      </c>
      <c r="AG50" s="106" t="e">
        <f>'ung luong'!#REF!</f>
        <v>#REF!</v>
      </c>
      <c r="AH50" s="106">
        <f t="shared" si="37"/>
        <v>0</v>
      </c>
      <c r="AI50" s="106" t="e">
        <f t="shared" ca="1" si="10"/>
        <v>#REF!</v>
      </c>
      <c r="AJ50" s="106" t="e">
        <f t="shared" ca="1" si="11"/>
        <v>#REF!</v>
      </c>
      <c r="AK50" s="231"/>
    </row>
    <row r="51" spans="1:39" ht="21" customHeight="1">
      <c r="A51" s="3">
        <f t="shared" si="38"/>
        <v>42</v>
      </c>
      <c r="B51" s="3" t="s">
        <v>196</v>
      </c>
      <c r="C51" s="3" t="s">
        <v>93</v>
      </c>
      <c r="D51" s="3" t="s">
        <v>207</v>
      </c>
      <c r="E51" s="110">
        <v>42066</v>
      </c>
      <c r="F51" s="111">
        <f t="shared" si="20"/>
        <v>0</v>
      </c>
      <c r="G51" s="22">
        <f t="shared" si="1"/>
        <v>3745000</v>
      </c>
      <c r="H51" s="28" t="s">
        <v>667</v>
      </c>
      <c r="I51" s="28">
        <v>1</v>
      </c>
      <c r="J51" s="277">
        <v>3745000</v>
      </c>
      <c r="K51" s="306">
        <f>VLOOKUP(H51,'thang luong moi'!B:I,'Bang luong (chaun)'!I51+1,0)</f>
        <v>4213125</v>
      </c>
      <c r="L51" s="315">
        <f t="shared" si="32"/>
        <v>0.1111111111111111</v>
      </c>
      <c r="M51" s="77">
        <f>VLOOKUP(C51,CC!$C$5:$AJ$67,34,0)</f>
        <v>27</v>
      </c>
      <c r="N51" s="22">
        <f t="shared" si="9"/>
        <v>4375168.269230769</v>
      </c>
      <c r="O51" s="22">
        <f>VLOOKUP(C51,CC!$C$5:$AM$67,36,0)</f>
        <v>0</v>
      </c>
      <c r="P51" s="22">
        <f>VLOOKUP(C51,CC!$C$5:$BS$67,69,0)</f>
        <v>0</v>
      </c>
      <c r="Q51" s="22">
        <f>VLOOKUP(C51,CC!$C$5:$BT$67,70,0)</f>
        <v>0</v>
      </c>
      <c r="R51" s="22">
        <f>VLOOKUP(C51,CC!$C$5:$AM$67,37,0)</f>
        <v>0</v>
      </c>
      <c r="S51" s="22">
        <f>VLOOKUP(C51,CC!$C$5:$AM$67,35,0)</f>
        <v>0</v>
      </c>
      <c r="T51" s="22">
        <f t="shared" si="8"/>
        <v>4375168.269230769</v>
      </c>
      <c r="U51" s="22" t="e">
        <f>VLOOKUP(C51,'Công tổng'!$C$53:$BY$67,66,0)-N51</f>
        <v>#N/A</v>
      </c>
      <c r="V51" s="22">
        <f t="shared" si="33"/>
        <v>0</v>
      </c>
      <c r="W51" s="22">
        <f ca="1">(100%-SUMIF('chuyên cần'!$C$6:$AP$31,'Bang luong (chaun)'!C51,'chuyên cần'!$AP$7:$AP$31))*$W$3</f>
        <v>300000</v>
      </c>
      <c r="X51" s="22"/>
      <c r="Y51" s="22"/>
      <c r="Z51" s="22"/>
      <c r="AA51" s="22"/>
      <c r="AB51" s="199">
        <v>75000</v>
      </c>
      <c r="AC51" s="265" t="e">
        <f t="shared" ca="1" si="34"/>
        <v>#N/A</v>
      </c>
      <c r="AD51" s="203">
        <f t="shared" si="35"/>
        <v>3820000</v>
      </c>
      <c r="AE51" s="204">
        <f t="shared" si="36"/>
        <v>4288125</v>
      </c>
      <c r="AF51" s="204">
        <v>4007250</v>
      </c>
      <c r="AG51" s="106">
        <f>'ung luong'!F95</f>
        <v>4000000</v>
      </c>
      <c r="AH51" s="106">
        <f t="shared" si="37"/>
        <v>0</v>
      </c>
      <c r="AI51" s="106" t="e">
        <f t="shared" ca="1" si="10"/>
        <v>#N/A</v>
      </c>
      <c r="AJ51" s="265" t="e">
        <f t="shared" ca="1" si="11"/>
        <v>#N/A</v>
      </c>
      <c r="AK51" s="231"/>
    </row>
    <row r="52" spans="1:39" ht="21" customHeight="1">
      <c r="A52" s="3">
        <f t="shared" si="38"/>
        <v>43</v>
      </c>
      <c r="B52" s="3" t="s">
        <v>197</v>
      </c>
      <c r="C52" s="3" t="s">
        <v>80</v>
      </c>
      <c r="D52" s="3" t="s">
        <v>207</v>
      </c>
      <c r="E52" s="110">
        <v>42078</v>
      </c>
      <c r="F52" s="111">
        <f t="shared" si="20"/>
        <v>0</v>
      </c>
      <c r="G52" s="22">
        <f t="shared" si="1"/>
        <v>3745000</v>
      </c>
      <c r="H52" s="28" t="s">
        <v>667</v>
      </c>
      <c r="I52" s="28">
        <v>1</v>
      </c>
      <c r="J52" s="277">
        <v>3745000</v>
      </c>
      <c r="K52" s="306">
        <f>VLOOKUP(H52,'thang luong moi'!B:I,'Bang luong (chaun)'!I52+1,0)</f>
        <v>4213125</v>
      </c>
      <c r="L52" s="315">
        <f t="shared" si="32"/>
        <v>0.1111111111111111</v>
      </c>
      <c r="M52" s="77">
        <f>VLOOKUP(C52,CC!$C$5:$AJ$67,34,0)</f>
        <v>27</v>
      </c>
      <c r="N52" s="22">
        <f t="shared" si="9"/>
        <v>4375168.269230769</v>
      </c>
      <c r="O52" s="22">
        <f>VLOOKUP(C52,CC!$C$5:$AM$67,36,0)</f>
        <v>0</v>
      </c>
      <c r="P52" s="22">
        <f>VLOOKUP(C52,CC!$C$5:$BS$67,69,0)</f>
        <v>0</v>
      </c>
      <c r="Q52" s="22">
        <f>VLOOKUP(C52,CC!$C$5:$BT$67,70,0)</f>
        <v>0</v>
      </c>
      <c r="R52" s="22">
        <f>VLOOKUP(C52,CC!$C$5:$AM$67,37,0)</f>
        <v>0</v>
      </c>
      <c r="S52" s="22">
        <f>VLOOKUP(C52,CC!$C$5:$AM$67,35,0)</f>
        <v>0</v>
      </c>
      <c r="T52" s="22">
        <f t="shared" si="8"/>
        <v>4375168.269230769</v>
      </c>
      <c r="U52" s="22" t="e">
        <f>VLOOKUP(C52,'Công tổng'!$C$53:$BY$67,66,0)-N52</f>
        <v>#N/A</v>
      </c>
      <c r="V52" s="22">
        <f t="shared" si="33"/>
        <v>0</v>
      </c>
      <c r="W52" s="22">
        <f ca="1">(100%-SUMIF('chuyên cần'!$C$6:$AP$31,'Bang luong (chaun)'!C52,'chuyên cần'!$AP$7:$AP$31))*$W$3</f>
        <v>300000</v>
      </c>
      <c r="X52" s="22"/>
      <c r="Y52" s="22"/>
      <c r="Z52" s="22"/>
      <c r="AA52" s="22"/>
      <c r="AB52" s="199">
        <v>300000</v>
      </c>
      <c r="AC52" s="106" t="e">
        <f t="shared" ca="1" si="34"/>
        <v>#N/A</v>
      </c>
      <c r="AD52" s="203">
        <f t="shared" si="35"/>
        <v>4045000</v>
      </c>
      <c r="AE52" s="204">
        <f t="shared" si="36"/>
        <v>4513125</v>
      </c>
      <c r="AF52" s="204">
        <v>4232250</v>
      </c>
      <c r="AG52" s="106">
        <f>'ung luong'!F109</f>
        <v>4000000</v>
      </c>
      <c r="AH52" s="106">
        <f t="shared" si="37"/>
        <v>0</v>
      </c>
      <c r="AI52" s="106" t="e">
        <f t="shared" ca="1" si="10"/>
        <v>#N/A</v>
      </c>
      <c r="AJ52" s="106" t="e">
        <f t="shared" ca="1" si="11"/>
        <v>#N/A</v>
      </c>
      <c r="AK52" s="231"/>
    </row>
    <row r="53" spans="1:39" ht="21" customHeight="1">
      <c r="A53" s="3">
        <f t="shared" si="38"/>
        <v>44</v>
      </c>
      <c r="B53" s="3" t="s">
        <v>198</v>
      </c>
      <c r="C53" s="3" t="s">
        <v>78</v>
      </c>
      <c r="D53" s="3" t="s">
        <v>207</v>
      </c>
      <c r="E53" s="110">
        <v>40869</v>
      </c>
      <c r="F53" s="111">
        <f t="shared" si="20"/>
        <v>4</v>
      </c>
      <c r="G53" s="22">
        <f t="shared" si="1"/>
        <v>3745000</v>
      </c>
      <c r="H53" s="28" t="s">
        <v>667</v>
      </c>
      <c r="I53" s="28">
        <v>1</v>
      </c>
      <c r="J53" s="277">
        <v>3745000</v>
      </c>
      <c r="K53" s="306">
        <f>VLOOKUP(H53,'thang luong moi'!B:I,'Bang luong (chaun)'!I53+1,0)</f>
        <v>4213125</v>
      </c>
      <c r="L53" s="315">
        <f t="shared" si="32"/>
        <v>0.1111111111111111</v>
      </c>
      <c r="M53" s="77">
        <f>VLOOKUP(C53,CC!$C$5:$AJ$67,34,0)</f>
        <v>27</v>
      </c>
      <c r="N53" s="22">
        <f t="shared" si="9"/>
        <v>4375168.269230769</v>
      </c>
      <c r="O53" s="22">
        <f>VLOOKUP(C53,CC!$C$5:$AM$67,36,0)</f>
        <v>0</v>
      </c>
      <c r="P53" s="22">
        <f>VLOOKUP(C53,CC!$C$5:$BS$67,69,0)</f>
        <v>0</v>
      </c>
      <c r="Q53" s="22">
        <f>VLOOKUP(C53,CC!$C$5:$BT$67,70,0)</f>
        <v>0</v>
      </c>
      <c r="R53" s="22">
        <f>VLOOKUP(C53,CC!$C$5:$AM$67,37,0)</f>
        <v>0</v>
      </c>
      <c r="S53" s="22">
        <f>VLOOKUP(C53,CC!$C$5:$AM$67,35,0)</f>
        <v>0</v>
      </c>
      <c r="T53" s="22">
        <f t="shared" si="8"/>
        <v>4375168.269230769</v>
      </c>
      <c r="U53" s="22" t="e">
        <f>VLOOKUP(C53,'Công tổng'!$C$53:$BY$67,66,0)-N53</f>
        <v>#N/A</v>
      </c>
      <c r="V53" s="22">
        <f t="shared" si="33"/>
        <v>168525</v>
      </c>
      <c r="W53" s="22">
        <f ca="1">(100%-SUMIF('chuyên cần'!$C$6:$AP$31,'Bang luong (chaun)'!C53,'chuyên cần'!$AP$7:$AP$31))*$W$3</f>
        <v>300000</v>
      </c>
      <c r="X53" s="22"/>
      <c r="Y53" s="22"/>
      <c r="Z53" s="22"/>
      <c r="AA53" s="22"/>
      <c r="AB53" s="199">
        <v>449800</v>
      </c>
      <c r="AC53" s="106" t="e">
        <f t="shared" ca="1" si="34"/>
        <v>#N/A</v>
      </c>
      <c r="AD53" s="203">
        <f t="shared" si="35"/>
        <v>4194800</v>
      </c>
      <c r="AE53" s="204">
        <f t="shared" si="36"/>
        <v>4662925</v>
      </c>
      <c r="AF53" s="204">
        <v>4382050</v>
      </c>
      <c r="AG53" s="106" t="e">
        <f>'ung luong'!#REF!</f>
        <v>#REF!</v>
      </c>
      <c r="AH53" s="106">
        <f t="shared" si="37"/>
        <v>348285</v>
      </c>
      <c r="AI53" s="106" t="e">
        <f t="shared" ca="1" si="10"/>
        <v>#N/A</v>
      </c>
      <c r="AJ53" s="106" t="e">
        <f t="shared" ca="1" si="11"/>
        <v>#N/A</v>
      </c>
      <c r="AK53" s="231"/>
      <c r="AM53" s="220">
        <v>3317000</v>
      </c>
    </row>
    <row r="54" spans="1:39" ht="21" customHeight="1">
      <c r="A54" s="3">
        <f t="shared" si="38"/>
        <v>45</v>
      </c>
      <c r="B54" s="3" t="s">
        <v>199</v>
      </c>
      <c r="C54" s="3" t="s">
        <v>82</v>
      </c>
      <c r="D54" s="3" t="s">
        <v>207</v>
      </c>
      <c r="E54" s="110">
        <v>42201</v>
      </c>
      <c r="F54" s="111">
        <f t="shared" si="20"/>
        <v>0</v>
      </c>
      <c r="G54" s="22">
        <f t="shared" si="1"/>
        <v>3745000</v>
      </c>
      <c r="H54" s="28" t="s">
        <v>667</v>
      </c>
      <c r="I54" s="28">
        <v>1</v>
      </c>
      <c r="J54" s="277">
        <v>3745000</v>
      </c>
      <c r="K54" s="306">
        <f>VLOOKUP(H54,'thang luong moi'!B:I,'Bang luong (chaun)'!I54+1,0)</f>
        <v>4213125</v>
      </c>
      <c r="L54" s="315">
        <f t="shared" si="32"/>
        <v>0.1111111111111111</v>
      </c>
      <c r="M54" s="77" t="e">
        <f>VLOOKUP(C54,CC!$C$5:$AJ$67,34,0)</f>
        <v>#N/A</v>
      </c>
      <c r="N54" s="22" t="e">
        <f t="shared" si="9"/>
        <v>#N/A</v>
      </c>
      <c r="O54" s="22" t="e">
        <f>VLOOKUP(C54,CC!$C$5:$AM$67,36,0)</f>
        <v>#N/A</v>
      </c>
      <c r="P54" s="22" t="e">
        <f>VLOOKUP(C54,CC!$C$5:$BS$67,69,0)</f>
        <v>#N/A</v>
      </c>
      <c r="Q54" s="22" t="e">
        <f>VLOOKUP(C54,CC!$C$5:$BT$67,70,0)</f>
        <v>#N/A</v>
      </c>
      <c r="R54" s="22" t="e">
        <f>VLOOKUP(C54,CC!$C$5:$AM$67,37,0)</f>
        <v>#N/A</v>
      </c>
      <c r="S54" s="22" t="e">
        <f>VLOOKUP(C54,CC!$C$5:$AM$67,35,0)</f>
        <v>#N/A</v>
      </c>
      <c r="T54" s="22" t="e">
        <f t="shared" si="8"/>
        <v>#N/A</v>
      </c>
      <c r="U54" s="22" t="e">
        <f>VLOOKUP(C54,'Công tổng'!$C$53:$BY$67,66,0)-N54</f>
        <v>#N/A</v>
      </c>
      <c r="V54" s="22">
        <f t="shared" si="33"/>
        <v>0</v>
      </c>
      <c r="W54" s="22">
        <f ca="1">(100%-SUMIF('chuyên cần'!$C$6:$AP$31,'Bang luong (chaun)'!C54,'chuyên cần'!$AP$7:$AP$31))*$W$3</f>
        <v>300000</v>
      </c>
      <c r="X54" s="22"/>
      <c r="Y54" s="22"/>
      <c r="Z54" s="22"/>
      <c r="AA54" s="22"/>
      <c r="AB54" s="199">
        <v>300000</v>
      </c>
      <c r="AC54" s="106" t="e">
        <f t="shared" ca="1" si="34"/>
        <v>#N/A</v>
      </c>
      <c r="AD54" s="203">
        <f t="shared" si="35"/>
        <v>4045000</v>
      </c>
      <c r="AE54" s="204">
        <f t="shared" si="36"/>
        <v>4513125</v>
      </c>
      <c r="AF54" s="204">
        <v>4232250</v>
      </c>
      <c r="AG54" s="106">
        <f>'ung luong'!F94</f>
        <v>2000000</v>
      </c>
      <c r="AH54" s="106">
        <f t="shared" si="37"/>
        <v>0</v>
      </c>
      <c r="AI54" s="106" t="e">
        <f t="shared" ca="1" si="10"/>
        <v>#N/A</v>
      </c>
      <c r="AJ54" s="106" t="e">
        <f ca="1">ROUND(AI54,-3)</f>
        <v>#N/A</v>
      </c>
      <c r="AK54" s="231"/>
    </row>
    <row r="55" spans="1:39" ht="20.25" customHeight="1">
      <c r="A55" s="3">
        <f t="shared" si="38"/>
        <v>46</v>
      </c>
      <c r="B55" s="3" t="s">
        <v>200</v>
      </c>
      <c r="C55" s="3" t="s">
        <v>79</v>
      </c>
      <c r="D55" s="3" t="s">
        <v>207</v>
      </c>
      <c r="E55" s="110">
        <v>41232</v>
      </c>
      <c r="F55" s="111">
        <f t="shared" si="20"/>
        <v>3</v>
      </c>
      <c r="G55" s="22">
        <f t="shared" si="1"/>
        <v>3745000</v>
      </c>
      <c r="H55" s="28" t="s">
        <v>667</v>
      </c>
      <c r="I55" s="28">
        <v>1</v>
      </c>
      <c r="J55" s="277">
        <v>3745000</v>
      </c>
      <c r="K55" s="306">
        <f>VLOOKUP(H55,'thang luong moi'!B:I,'Bang luong (chaun)'!I55+1,0)</f>
        <v>4213125</v>
      </c>
      <c r="L55" s="315">
        <f t="shared" si="32"/>
        <v>0.1111111111111111</v>
      </c>
      <c r="M55" s="77" t="e">
        <f>VLOOKUP(C55,CC!$C$5:$AJ$67,34,0)</f>
        <v>#N/A</v>
      </c>
      <c r="N55" s="22" t="e">
        <f t="shared" si="9"/>
        <v>#N/A</v>
      </c>
      <c r="O55" s="22" t="e">
        <f>VLOOKUP(C55,CC!$C$5:$AM$67,36,0)</f>
        <v>#N/A</v>
      </c>
      <c r="P55" s="22" t="e">
        <f>VLOOKUP(C55,CC!$C$5:$BS$67,69,0)</f>
        <v>#N/A</v>
      </c>
      <c r="Q55" s="22" t="e">
        <f>VLOOKUP(C55,CC!$C$5:$BT$67,70,0)</f>
        <v>#N/A</v>
      </c>
      <c r="R55" s="22" t="e">
        <f>VLOOKUP(C55,CC!$C$5:$AM$67,37,0)</f>
        <v>#N/A</v>
      </c>
      <c r="S55" s="22" t="e">
        <f>VLOOKUP(C55,CC!$C$5:$AM$67,35,0)</f>
        <v>#N/A</v>
      </c>
      <c r="T55" s="22" t="e">
        <f t="shared" si="8"/>
        <v>#N/A</v>
      </c>
      <c r="U55" s="22" t="e">
        <f>VLOOKUP(C55,'Công tổng'!$C$53:$BY$67,66,0)-N55</f>
        <v>#N/A</v>
      </c>
      <c r="V55" s="22">
        <f t="shared" si="33"/>
        <v>126393.75</v>
      </c>
      <c r="W55" s="22">
        <f ca="1">(100%-SUMIF('chuyên cần'!$C$6:$AP$31,'Bang luong (chaun)'!C55,'chuyên cần'!$AP$7:$AP$31))*$W$3</f>
        <v>300000</v>
      </c>
      <c r="X55" s="22"/>
      <c r="Y55" s="22"/>
      <c r="Z55" s="22"/>
      <c r="AA55" s="22"/>
      <c r="AB55" s="199">
        <v>112350</v>
      </c>
      <c r="AC55" s="106" t="e">
        <f t="shared" ca="1" si="34"/>
        <v>#N/A</v>
      </c>
      <c r="AD55" s="203">
        <f t="shared" si="35"/>
        <v>3857350</v>
      </c>
      <c r="AE55" s="204">
        <f t="shared" si="36"/>
        <v>4325475</v>
      </c>
      <c r="AF55" s="204">
        <v>4044600</v>
      </c>
      <c r="AG55" s="106" t="e">
        <f>'ung luong'!#REF!</f>
        <v>#REF!</v>
      </c>
      <c r="AH55" s="106">
        <f t="shared" si="37"/>
        <v>348285</v>
      </c>
      <c r="AI55" s="106" t="e">
        <f t="shared" ca="1" si="10"/>
        <v>#N/A</v>
      </c>
      <c r="AJ55" s="106" t="e">
        <f t="shared" ca="1" si="11"/>
        <v>#N/A</v>
      </c>
      <c r="AK55" s="231"/>
      <c r="AM55" s="220">
        <v>3317000</v>
      </c>
    </row>
    <row r="56" spans="1:39" ht="18.75" customHeight="1">
      <c r="A56" s="3">
        <f t="shared" si="38"/>
        <v>47</v>
      </c>
      <c r="B56" s="3" t="s">
        <v>500</v>
      </c>
      <c r="C56" s="3" t="s">
        <v>563</v>
      </c>
      <c r="D56" s="3" t="s">
        <v>207</v>
      </c>
      <c r="E56" s="110">
        <v>42362</v>
      </c>
      <c r="F56" s="111">
        <f t="shared" si="20"/>
        <v>0</v>
      </c>
      <c r="G56" s="22">
        <f t="shared" si="1"/>
        <v>3745000</v>
      </c>
      <c r="H56" s="28" t="s">
        <v>667</v>
      </c>
      <c r="I56" s="28">
        <v>1</v>
      </c>
      <c r="J56" s="277">
        <v>3745000</v>
      </c>
      <c r="K56" s="306">
        <f>VLOOKUP(H56,'thang luong moi'!B:I,'Bang luong (chaun)'!I56+1,0)</f>
        <v>4213125</v>
      </c>
      <c r="L56" s="315">
        <f t="shared" si="32"/>
        <v>0.1111111111111111</v>
      </c>
      <c r="M56" s="77" t="e">
        <f>VLOOKUP(C56,CC!$C$5:$AJ$67,34,0)</f>
        <v>#N/A</v>
      </c>
      <c r="N56" s="22" t="e">
        <f>K56/26*M56</f>
        <v>#N/A</v>
      </c>
      <c r="O56" s="22" t="e">
        <f>VLOOKUP(C56,CC!$C$5:$AM$67,36,0)</f>
        <v>#N/A</v>
      </c>
      <c r="P56" s="22" t="e">
        <f>VLOOKUP(C56,CC!$C$5:$BS$67,69,0)</f>
        <v>#N/A</v>
      </c>
      <c r="Q56" s="22" t="e">
        <f>VLOOKUP(C56,CC!$C$5:$BT$67,70,0)</f>
        <v>#N/A</v>
      </c>
      <c r="R56" s="22" t="e">
        <f>VLOOKUP(C56,CC!$C$5:$AM$67,37,0)</f>
        <v>#N/A</v>
      </c>
      <c r="S56" s="22" t="e">
        <f>VLOOKUP(C56,CC!$C$5:$AM$67,35,0)</f>
        <v>#N/A</v>
      </c>
      <c r="T56" s="22" t="e">
        <f t="shared" si="8"/>
        <v>#N/A</v>
      </c>
      <c r="U56" s="22" t="e">
        <f>VLOOKUP(C56,'Công tổng'!$C$53:$BY$67,66,0)-N56</f>
        <v>#N/A</v>
      </c>
      <c r="V56" s="22">
        <f t="shared" si="33"/>
        <v>0</v>
      </c>
      <c r="W56" s="22">
        <f ca="1">(100%-SUMIF('chuyên cần'!$C$6:$AP$31,'Bang luong (chaun)'!C56,'chuyên cần'!$AP$7:$AP$31))*$W$3</f>
        <v>300000</v>
      </c>
      <c r="X56" s="22"/>
      <c r="Y56" s="22"/>
      <c r="Z56" s="22"/>
      <c r="AA56" s="22"/>
      <c r="AB56" s="199">
        <v>0</v>
      </c>
      <c r="AC56" s="106" t="e">
        <f t="shared" ca="1" si="34"/>
        <v>#N/A</v>
      </c>
      <c r="AD56" s="203">
        <f t="shared" si="35"/>
        <v>3745000</v>
      </c>
      <c r="AE56" s="204">
        <f t="shared" si="36"/>
        <v>4213125</v>
      </c>
      <c r="AF56" s="204">
        <v>3932250</v>
      </c>
      <c r="AG56" s="106" t="e">
        <f>'ung luong'!#REF!</f>
        <v>#REF!</v>
      </c>
      <c r="AH56" s="106">
        <f>AM56*$AH$2</f>
        <v>0</v>
      </c>
      <c r="AI56" s="106" t="e">
        <f ca="1">AC56-AG56-AH56</f>
        <v>#N/A</v>
      </c>
      <c r="AJ56" s="106" t="e">
        <f ca="1">ROUND(AI56,-3)</f>
        <v>#N/A</v>
      </c>
      <c r="AK56" s="231"/>
    </row>
    <row r="57" spans="1:39" ht="21" customHeight="1">
      <c r="A57" s="3">
        <f t="shared" si="38"/>
        <v>48</v>
      </c>
      <c r="B57" s="3" t="s">
        <v>576</v>
      </c>
      <c r="C57" s="3" t="s">
        <v>572</v>
      </c>
      <c r="D57" s="3" t="s">
        <v>207</v>
      </c>
      <c r="E57" s="110">
        <v>42376</v>
      </c>
      <c r="F57" s="111">
        <f t="shared" si="20"/>
        <v>0</v>
      </c>
      <c r="G57" s="22">
        <f t="shared" si="1"/>
        <v>3745000</v>
      </c>
      <c r="H57" s="28" t="s">
        <v>667</v>
      </c>
      <c r="I57" s="28">
        <v>1</v>
      </c>
      <c r="J57" s="277">
        <v>3745000</v>
      </c>
      <c r="K57" s="306">
        <f>VLOOKUP(H57,'thang luong moi'!B:I,'Bang luong (chaun)'!I57+1,0)</f>
        <v>4213125</v>
      </c>
      <c r="L57" s="315">
        <f t="shared" si="32"/>
        <v>0.1111111111111111</v>
      </c>
      <c r="M57" s="77" t="e">
        <f>VLOOKUP(C57,CC!$C$5:$AJ$67,34,0)</f>
        <v>#N/A</v>
      </c>
      <c r="N57" s="22" t="e">
        <f>K57/26*M57</f>
        <v>#N/A</v>
      </c>
      <c r="O57" s="22" t="e">
        <f>VLOOKUP(C57,CC!$C$5:$AM$67,36,0)</f>
        <v>#N/A</v>
      </c>
      <c r="P57" s="22" t="e">
        <f>VLOOKUP(C57,CC!$C$5:$BS$67,69,0)</f>
        <v>#N/A</v>
      </c>
      <c r="Q57" s="22" t="e">
        <f>VLOOKUP(C57,CC!$C$5:$BT$67,70,0)</f>
        <v>#N/A</v>
      </c>
      <c r="R57" s="22" t="e">
        <f>VLOOKUP(C57,CC!$C$5:$AM$67,37,0)</f>
        <v>#N/A</v>
      </c>
      <c r="S57" s="22" t="e">
        <f>VLOOKUP(C57,CC!$C$5:$AM$67,35,0)</f>
        <v>#N/A</v>
      </c>
      <c r="T57" s="22" t="e">
        <f>((K57/26)*M57)+(O57*(K57/26))+((P57/8)*1.5*(K57/26))+((Q57/8)*2*K57/26)+(S57*3*(K57/26)+(K57/26)*R57)</f>
        <v>#N/A</v>
      </c>
      <c r="U57" s="22" t="e">
        <f>VLOOKUP(C57,'Công tổng'!$C$53:$BY$67,66,0)-N57</f>
        <v>#N/A</v>
      </c>
      <c r="V57" s="22">
        <f>IF((F57-$V$3)&gt;0,F57%*K57,0)</f>
        <v>0</v>
      </c>
      <c r="W57" s="22">
        <f ca="1">(100%-SUMIF('chuyên cần'!$C$6:$AP$31,'Bang luong (chaun)'!C57,'chuyên cần'!$AP$7:$AP$31))*$W$3</f>
        <v>300000</v>
      </c>
      <c r="X57" s="22"/>
      <c r="Y57" s="22"/>
      <c r="Z57" s="22"/>
      <c r="AA57" s="22"/>
      <c r="AB57" s="199">
        <v>300000</v>
      </c>
      <c r="AC57" s="106" t="e">
        <f t="shared" ca="1" si="34"/>
        <v>#N/A</v>
      </c>
      <c r="AD57" s="203">
        <f t="shared" si="35"/>
        <v>4045000</v>
      </c>
      <c r="AE57" s="204">
        <f t="shared" si="36"/>
        <v>4513125</v>
      </c>
      <c r="AF57" s="204">
        <v>4232250</v>
      </c>
      <c r="AG57" s="106" t="e">
        <f>'ung luong'!#REF!</f>
        <v>#REF!</v>
      </c>
      <c r="AH57" s="106">
        <f>AM57*$AH$2</f>
        <v>0</v>
      </c>
      <c r="AI57" s="106" t="e">
        <f ca="1">AC57-AG57-AH57</f>
        <v>#N/A</v>
      </c>
      <c r="AJ57" s="106" t="e">
        <f ca="1">ROUND(AI57,-3)</f>
        <v>#N/A</v>
      </c>
      <c r="AK57" s="231"/>
    </row>
    <row r="58" spans="1:39" ht="21" customHeight="1">
      <c r="A58" s="3">
        <f t="shared" si="38"/>
        <v>49</v>
      </c>
      <c r="B58" s="3" t="s">
        <v>577</v>
      </c>
      <c r="C58" s="3" t="s">
        <v>578</v>
      </c>
      <c r="D58" s="3" t="s">
        <v>207</v>
      </c>
      <c r="E58" s="110">
        <v>42387</v>
      </c>
      <c r="F58" s="111">
        <f t="shared" si="20"/>
        <v>0</v>
      </c>
      <c r="G58" s="22">
        <f t="shared" si="1"/>
        <v>3745000</v>
      </c>
      <c r="H58" s="28" t="s">
        <v>667</v>
      </c>
      <c r="I58" s="28">
        <v>1</v>
      </c>
      <c r="J58" s="277">
        <v>3745000</v>
      </c>
      <c r="K58" s="306">
        <f>VLOOKUP(H58,'thang luong moi'!B:I,'Bang luong (chaun)'!I58+1,0)</f>
        <v>4213125</v>
      </c>
      <c r="L58" s="315">
        <f t="shared" si="32"/>
        <v>0.1111111111111111</v>
      </c>
      <c r="M58" s="77" t="e">
        <f>VLOOKUP(C58,CC!$C$5:$AJ$67,34,0)</f>
        <v>#N/A</v>
      </c>
      <c r="N58" s="22" t="e">
        <f t="shared" ref="N58:N63" si="39">K58/26*M58</f>
        <v>#N/A</v>
      </c>
      <c r="O58" s="22" t="e">
        <f>VLOOKUP(C58,CC!$C$5:$AM$67,36,0)</f>
        <v>#N/A</v>
      </c>
      <c r="P58" s="22" t="e">
        <f>VLOOKUP(C58,CC!$C$5:$BS$67,69,0)</f>
        <v>#N/A</v>
      </c>
      <c r="Q58" s="22" t="e">
        <f>VLOOKUP(C58,CC!$C$5:$BT$67,70,0)</f>
        <v>#N/A</v>
      </c>
      <c r="R58" s="22" t="e">
        <f>VLOOKUP(C58,CC!$C$5:$AM$67,37,0)</f>
        <v>#N/A</v>
      </c>
      <c r="S58" s="22" t="e">
        <f>VLOOKUP(C58,CC!$C$5:$AM$67,35,0)</f>
        <v>#N/A</v>
      </c>
      <c r="T58" s="22" t="e">
        <f t="shared" ref="T58:T63" si="40">((K58/26)*M58)+(O58*(K58/26))+((P58/8)*1.5*(K58/26))+((Q58/8)*2*K58/26)+(S58*3*(K58/26)+(K58/26)*R58)</f>
        <v>#N/A</v>
      </c>
      <c r="U58" s="22" t="e">
        <f>VLOOKUP(C58,'Công tổng'!$C$53:$BY$67,66,0)-N58</f>
        <v>#N/A</v>
      </c>
      <c r="V58" s="22">
        <f t="shared" ref="V58:V63" si="41">IF((F58-$V$3)&gt;0,F58%*K58,0)</f>
        <v>0</v>
      </c>
      <c r="W58" s="22">
        <f ca="1">(100%-SUMIF('chuyên cần'!$C$6:$AP$31,'Bang luong (chaun)'!C58,'chuyên cần'!$AP$7:$AP$31))*$W$3</f>
        <v>300000</v>
      </c>
      <c r="X58" s="22"/>
      <c r="Y58" s="22"/>
      <c r="Z58" s="22"/>
      <c r="AA58" s="22"/>
      <c r="AB58" s="199">
        <v>0</v>
      </c>
      <c r="AC58" s="106" t="e">
        <f t="shared" ca="1" si="34"/>
        <v>#N/A</v>
      </c>
      <c r="AD58" s="203">
        <f t="shared" si="35"/>
        <v>3745000</v>
      </c>
      <c r="AE58" s="204">
        <f t="shared" si="36"/>
        <v>4213125</v>
      </c>
      <c r="AF58" s="204">
        <v>3932250</v>
      </c>
      <c r="AG58" s="106" t="e">
        <f>'ung luong'!#REF!</f>
        <v>#REF!</v>
      </c>
      <c r="AH58" s="106">
        <f>AM58*$AH$2</f>
        <v>0</v>
      </c>
      <c r="AI58" s="106" t="e">
        <f ca="1">AC58-AG58-AH58</f>
        <v>#N/A</v>
      </c>
      <c r="AJ58" s="106" t="e">
        <f ca="1">ROUND(AI58,-3)</f>
        <v>#N/A</v>
      </c>
      <c r="AK58" s="231"/>
    </row>
    <row r="59" spans="1:39" ht="21" customHeight="1">
      <c r="A59" s="3">
        <f t="shared" si="38"/>
        <v>50</v>
      </c>
      <c r="B59" s="3" t="s">
        <v>588</v>
      </c>
      <c r="C59" s="3" t="s">
        <v>589</v>
      </c>
      <c r="D59" s="3" t="s">
        <v>207</v>
      </c>
      <c r="E59" s="110">
        <v>42413</v>
      </c>
      <c r="F59" s="111">
        <f t="shared" si="20"/>
        <v>0</v>
      </c>
      <c r="G59" s="22">
        <f t="shared" si="1"/>
        <v>3745000</v>
      </c>
      <c r="H59" s="28" t="s">
        <v>667</v>
      </c>
      <c r="I59" s="28">
        <v>1</v>
      </c>
      <c r="J59" s="277">
        <v>3745000</v>
      </c>
      <c r="K59" s="306">
        <f>VLOOKUP(H59,'thang luong moi'!B:I,'Bang luong (chaun)'!I59+1,0)</f>
        <v>4213125</v>
      </c>
      <c r="L59" s="315">
        <f t="shared" si="32"/>
        <v>0.1111111111111111</v>
      </c>
      <c r="M59" s="77">
        <f>VLOOKUP(C59,CC!$C$5:$AJ$67,34,0)</f>
        <v>27</v>
      </c>
      <c r="N59" s="22">
        <f t="shared" si="39"/>
        <v>4375168.269230769</v>
      </c>
      <c r="O59" s="22">
        <f>VLOOKUP(C59,CC!$C$5:$AM$67,36,0)</f>
        <v>0</v>
      </c>
      <c r="P59" s="22">
        <f>VLOOKUP(C59,CC!$C$5:$BS$67,69,0)</f>
        <v>0</v>
      </c>
      <c r="Q59" s="22">
        <f>VLOOKUP(C59,CC!$C$5:$BT$67,70,0)</f>
        <v>0</v>
      </c>
      <c r="R59" s="22">
        <f>VLOOKUP(C59,CC!$C$5:$AM$67,37,0)</f>
        <v>0</v>
      </c>
      <c r="S59" s="22">
        <f>VLOOKUP(C59,CC!$C$5:$AM$67,35,0)</f>
        <v>0</v>
      </c>
      <c r="T59" s="22">
        <f t="shared" si="40"/>
        <v>4375168.269230769</v>
      </c>
      <c r="U59" s="22" t="e">
        <f>VLOOKUP(C59,'Công tổng'!$C$53:$BY$67,66,0)-N59</f>
        <v>#N/A</v>
      </c>
      <c r="V59" s="22">
        <f t="shared" si="41"/>
        <v>0</v>
      </c>
      <c r="W59" s="22">
        <f ca="1">(100%-SUMIF('chuyên cần'!$C$6:$AP$31,'Bang luong (chaun)'!C59,'chuyên cần'!$AP$7:$AP$31))*$W$3</f>
        <v>300000</v>
      </c>
      <c r="X59" s="22"/>
      <c r="Y59" s="22"/>
      <c r="Z59" s="22"/>
      <c r="AA59" s="22"/>
      <c r="AB59" s="199">
        <v>0</v>
      </c>
      <c r="AC59" s="106" t="e">
        <f t="shared" ca="1" si="34"/>
        <v>#N/A</v>
      </c>
      <c r="AD59" s="203">
        <f t="shared" si="35"/>
        <v>3745000</v>
      </c>
      <c r="AE59" s="204">
        <f t="shared" si="36"/>
        <v>4213125</v>
      </c>
      <c r="AF59" s="204">
        <v>3932250</v>
      </c>
      <c r="AG59" s="106">
        <f>'ung luong'!F126</f>
        <v>3000000</v>
      </c>
      <c r="AH59" s="106">
        <f>AM59*$AH$2</f>
        <v>0</v>
      </c>
      <c r="AI59" s="106" t="e">
        <f ca="1">AC59-AG59-AH59</f>
        <v>#N/A</v>
      </c>
      <c r="AJ59" s="106" t="e">
        <f ca="1">ROUND(AI59,-3)</f>
        <v>#N/A</v>
      </c>
      <c r="AK59" s="231"/>
    </row>
    <row r="60" spans="1:39" ht="21" customHeight="1">
      <c r="A60" s="3">
        <f t="shared" si="38"/>
        <v>51</v>
      </c>
      <c r="B60" s="3" t="s">
        <v>594</v>
      </c>
      <c r="C60" s="3" t="s">
        <v>599</v>
      </c>
      <c r="D60" s="3" t="s">
        <v>207</v>
      </c>
      <c r="E60" s="110">
        <v>42415</v>
      </c>
      <c r="F60" s="111">
        <f t="shared" si="20"/>
        <v>0</v>
      </c>
      <c r="G60" s="22">
        <f t="shared" si="1"/>
        <v>3745000</v>
      </c>
      <c r="H60" s="28" t="s">
        <v>667</v>
      </c>
      <c r="I60" s="28">
        <v>1</v>
      </c>
      <c r="J60" s="277">
        <v>3745000</v>
      </c>
      <c r="K60" s="306">
        <f>VLOOKUP(H60,'thang luong moi'!B:I,'Bang luong (chaun)'!I60+1,0)</f>
        <v>4213125</v>
      </c>
      <c r="L60" s="315">
        <f t="shared" si="32"/>
        <v>0.1111111111111111</v>
      </c>
      <c r="M60" s="77">
        <f>VLOOKUP(C60,CC!$C$5:$AJ$67,34,0)</f>
        <v>27</v>
      </c>
      <c r="N60" s="22">
        <f t="shared" si="39"/>
        <v>4375168.269230769</v>
      </c>
      <c r="O60" s="22">
        <f>VLOOKUP(C60,CC!$C$5:$AM$67,36,0)</f>
        <v>0</v>
      </c>
      <c r="P60" s="22">
        <f>VLOOKUP(C60,CC!$C$5:$BS$67,69,0)</f>
        <v>0</v>
      </c>
      <c r="Q60" s="22">
        <f>VLOOKUP(C60,CC!$C$5:$BT$67,70,0)</f>
        <v>0</v>
      </c>
      <c r="R60" s="22">
        <f>VLOOKUP(C60,CC!$C$5:$AM$67,37,0)</f>
        <v>0</v>
      </c>
      <c r="S60" s="22">
        <f>VLOOKUP(C60,CC!$C$5:$AM$67,35,0)</f>
        <v>0</v>
      </c>
      <c r="T60" s="22">
        <f t="shared" si="40"/>
        <v>4375168.269230769</v>
      </c>
      <c r="U60" s="22">
        <f>VLOOKUP(C60,'Công tổng'!$C$53:$BY$67,66,0)-N60</f>
        <v>-4375168.269230769</v>
      </c>
      <c r="V60" s="22">
        <f t="shared" si="41"/>
        <v>0</v>
      </c>
      <c r="W60" s="22">
        <f ca="1">(100%-SUMIF('chuyên cần'!$C$6:$AP$31,'Bang luong (chaun)'!C60,'chuyên cần'!$AP$7:$AP$31))*$W$3</f>
        <v>300000</v>
      </c>
      <c r="X60" s="22"/>
      <c r="Y60" s="22"/>
      <c r="Z60" s="22"/>
      <c r="AA60" s="22"/>
      <c r="AB60" s="199">
        <v>0</v>
      </c>
      <c r="AC60" s="106">
        <f t="shared" ca="1" si="34"/>
        <v>300000</v>
      </c>
      <c r="AD60" s="203">
        <f t="shared" si="35"/>
        <v>3745000</v>
      </c>
      <c r="AE60" s="204">
        <f t="shared" si="36"/>
        <v>4213125</v>
      </c>
      <c r="AF60" s="204">
        <v>3932250</v>
      </c>
      <c r="AG60" s="106" t="e">
        <f>'ung luong'!#REF!</f>
        <v>#REF!</v>
      </c>
      <c r="AH60" s="106">
        <f t="shared" ref="AH60:AH72" si="42">AM60*$AH$2</f>
        <v>0</v>
      </c>
      <c r="AI60" s="106" t="e">
        <f t="shared" ref="AI60:AI72" ca="1" si="43">AC60-AG60-AH60</f>
        <v>#REF!</v>
      </c>
      <c r="AJ60" s="106" t="e">
        <f t="shared" ref="AJ60:AJ72" ca="1" si="44">ROUND(AI60,-3)</f>
        <v>#REF!</v>
      </c>
      <c r="AK60" s="231"/>
    </row>
    <row r="61" spans="1:39" ht="21" customHeight="1">
      <c r="A61" s="3">
        <f t="shared" si="38"/>
        <v>52</v>
      </c>
      <c r="B61" s="3" t="s">
        <v>595</v>
      </c>
      <c r="C61" s="3" t="s">
        <v>600</v>
      </c>
      <c r="D61" s="3" t="s">
        <v>207</v>
      </c>
      <c r="E61" s="110">
        <v>42415</v>
      </c>
      <c r="F61" s="111">
        <f t="shared" si="20"/>
        <v>0</v>
      </c>
      <c r="G61" s="22">
        <f t="shared" si="1"/>
        <v>3745000</v>
      </c>
      <c r="H61" s="28" t="s">
        <v>667</v>
      </c>
      <c r="I61" s="28">
        <v>1</v>
      </c>
      <c r="J61" s="277">
        <v>3745000</v>
      </c>
      <c r="K61" s="306">
        <f>VLOOKUP(H61,'thang luong moi'!B:I,'Bang luong (chaun)'!I61+1,0)</f>
        <v>4213125</v>
      </c>
      <c r="L61" s="315">
        <f t="shared" si="32"/>
        <v>0.1111111111111111</v>
      </c>
      <c r="M61" s="77">
        <f>VLOOKUP(C61,CC!$C$5:$AJ$67,34,0)</f>
        <v>27</v>
      </c>
      <c r="N61" s="22">
        <f t="shared" si="39"/>
        <v>4375168.269230769</v>
      </c>
      <c r="O61" s="22">
        <f>VLOOKUP(C61,CC!$C$5:$AM$67,36,0)</f>
        <v>0</v>
      </c>
      <c r="P61" s="22">
        <f>VLOOKUP(C61,CC!$C$5:$BS$67,69,0)</f>
        <v>0</v>
      </c>
      <c r="Q61" s="22">
        <f>VLOOKUP(C61,CC!$C$5:$BT$67,70,0)</f>
        <v>0</v>
      </c>
      <c r="R61" s="22">
        <f>VLOOKUP(C61,CC!$C$5:$AM$67,37,0)</f>
        <v>0</v>
      </c>
      <c r="S61" s="22">
        <f>VLOOKUP(C61,CC!$C$5:$AM$67,35,0)</f>
        <v>0</v>
      </c>
      <c r="T61" s="22">
        <f t="shared" si="40"/>
        <v>4375168.269230769</v>
      </c>
      <c r="U61" s="22" t="e">
        <f>VLOOKUP(C61,'Công tổng'!$C$53:$BY$67,66,0)-N61</f>
        <v>#N/A</v>
      </c>
      <c r="V61" s="22">
        <f t="shared" si="41"/>
        <v>0</v>
      </c>
      <c r="W61" s="22">
        <f ca="1">(100%-SUMIF('chuyên cần'!$C$6:$AP$31,'Bang luong (chaun)'!C61,'chuyên cần'!$AP$7:$AP$31))*$W$3</f>
        <v>300000</v>
      </c>
      <c r="X61" s="22"/>
      <c r="Y61" s="22"/>
      <c r="Z61" s="22"/>
      <c r="AA61" s="22"/>
      <c r="AB61" s="199">
        <v>0</v>
      </c>
      <c r="AC61" s="106" t="e">
        <f t="shared" ca="1" si="34"/>
        <v>#N/A</v>
      </c>
      <c r="AD61" s="203">
        <f t="shared" si="35"/>
        <v>3745000</v>
      </c>
      <c r="AE61" s="204">
        <f t="shared" si="36"/>
        <v>4213125</v>
      </c>
      <c r="AF61" s="204">
        <v>3932250</v>
      </c>
      <c r="AG61" s="106" t="e">
        <f>'ung luong'!#REF!</f>
        <v>#REF!</v>
      </c>
      <c r="AH61" s="106">
        <f t="shared" si="42"/>
        <v>0</v>
      </c>
      <c r="AI61" s="106" t="e">
        <f t="shared" ca="1" si="43"/>
        <v>#N/A</v>
      </c>
      <c r="AJ61" s="106" t="e">
        <f t="shared" ca="1" si="44"/>
        <v>#N/A</v>
      </c>
      <c r="AK61" s="231"/>
    </row>
    <row r="62" spans="1:39" ht="21" customHeight="1">
      <c r="A62" s="3">
        <f t="shared" si="38"/>
        <v>53</v>
      </c>
      <c r="B62" s="3" t="s">
        <v>596</v>
      </c>
      <c r="C62" s="3" t="s">
        <v>601</v>
      </c>
      <c r="D62" s="3" t="s">
        <v>207</v>
      </c>
      <c r="E62" s="110">
        <v>42415</v>
      </c>
      <c r="F62" s="111">
        <f t="shared" si="20"/>
        <v>0</v>
      </c>
      <c r="G62" s="22">
        <f t="shared" si="1"/>
        <v>3745000</v>
      </c>
      <c r="H62" s="28" t="s">
        <v>667</v>
      </c>
      <c r="I62" s="28">
        <v>1</v>
      </c>
      <c r="J62" s="277">
        <v>3745000</v>
      </c>
      <c r="K62" s="306">
        <f>VLOOKUP(H62,'thang luong moi'!B:I,'Bang luong (chaun)'!I62+1,0)</f>
        <v>4213125</v>
      </c>
      <c r="L62" s="315">
        <f t="shared" si="32"/>
        <v>0.1111111111111111</v>
      </c>
      <c r="M62" s="77" t="e">
        <f>VLOOKUP(C62,CC!$C$5:$AJ$67,34,0)</f>
        <v>#N/A</v>
      </c>
      <c r="N62" s="22" t="e">
        <f t="shared" si="39"/>
        <v>#N/A</v>
      </c>
      <c r="O62" s="22" t="e">
        <f>VLOOKUP(C62,CC!$C$5:$AM$67,36,0)</f>
        <v>#N/A</v>
      </c>
      <c r="P62" s="22" t="e">
        <f>VLOOKUP(C62,CC!$C$5:$BS$67,69,0)</f>
        <v>#N/A</v>
      </c>
      <c r="Q62" s="22" t="e">
        <f>VLOOKUP(C62,CC!$C$5:$BT$67,70,0)</f>
        <v>#N/A</v>
      </c>
      <c r="R62" s="22" t="e">
        <f>VLOOKUP(C62,CC!$C$5:$AM$67,37,0)</f>
        <v>#N/A</v>
      </c>
      <c r="S62" s="22" t="e">
        <f>VLOOKUP(C62,CC!$C$5:$AM$67,35,0)</f>
        <v>#N/A</v>
      </c>
      <c r="T62" s="22" t="e">
        <f t="shared" si="40"/>
        <v>#N/A</v>
      </c>
      <c r="U62" s="22" t="e">
        <f>VLOOKUP(C62,'Công tổng'!$C$53:$BY$67,66,0)-N62</f>
        <v>#N/A</v>
      </c>
      <c r="V62" s="22">
        <f t="shared" si="41"/>
        <v>0</v>
      </c>
      <c r="W62" s="22">
        <f ca="1">(100%-SUMIF('chuyên cần'!$C$6:$AP$31,'Bang luong (chaun)'!C62,'chuyên cần'!$AP$7:$AP$31))*$W$3</f>
        <v>300000</v>
      </c>
      <c r="X62" s="22"/>
      <c r="Y62" s="22"/>
      <c r="Z62" s="22"/>
      <c r="AA62" s="22"/>
      <c r="AB62" s="199">
        <v>0</v>
      </c>
      <c r="AC62" s="106" t="e">
        <f t="shared" ca="1" si="34"/>
        <v>#N/A</v>
      </c>
      <c r="AD62" s="203">
        <f t="shared" si="35"/>
        <v>3745000</v>
      </c>
      <c r="AE62" s="204">
        <f t="shared" si="36"/>
        <v>4213125</v>
      </c>
      <c r="AF62" s="204">
        <v>3932250</v>
      </c>
      <c r="AG62" s="106" t="e">
        <f>'ung luong'!#REF!</f>
        <v>#REF!</v>
      </c>
      <c r="AH62" s="106">
        <f t="shared" si="42"/>
        <v>0</v>
      </c>
      <c r="AI62" s="106" t="e">
        <f t="shared" ca="1" si="43"/>
        <v>#N/A</v>
      </c>
      <c r="AJ62" s="106" t="e">
        <f t="shared" ca="1" si="44"/>
        <v>#N/A</v>
      </c>
      <c r="AK62" s="231"/>
    </row>
    <row r="63" spans="1:39" ht="21" customHeight="1">
      <c r="A63" s="3">
        <f t="shared" si="38"/>
        <v>54</v>
      </c>
      <c r="B63" s="3" t="s">
        <v>597</v>
      </c>
      <c r="C63" s="3" t="s">
        <v>604</v>
      </c>
      <c r="D63" s="3" t="s">
        <v>207</v>
      </c>
      <c r="E63" s="110">
        <v>42415</v>
      </c>
      <c r="F63" s="111">
        <f t="shared" si="20"/>
        <v>0</v>
      </c>
      <c r="G63" s="22">
        <f t="shared" si="1"/>
        <v>3745000</v>
      </c>
      <c r="H63" s="28" t="s">
        <v>667</v>
      </c>
      <c r="I63" s="28">
        <v>1</v>
      </c>
      <c r="J63" s="277">
        <v>3745000</v>
      </c>
      <c r="K63" s="306">
        <f>VLOOKUP(H63,'thang luong moi'!B:I,'Bang luong (chaun)'!I63+1,0)</f>
        <v>4213125</v>
      </c>
      <c r="L63" s="315">
        <f t="shared" si="32"/>
        <v>0.1111111111111111</v>
      </c>
      <c r="M63" s="77" t="e">
        <f>VLOOKUP(C63,CC!$C$5:$AJ$67,34,0)</f>
        <v>#N/A</v>
      </c>
      <c r="N63" s="22" t="e">
        <f t="shared" si="39"/>
        <v>#N/A</v>
      </c>
      <c r="O63" s="22" t="e">
        <f>VLOOKUP(C63,CC!$C$5:$AM$67,36,0)</f>
        <v>#N/A</v>
      </c>
      <c r="P63" s="22" t="e">
        <f>VLOOKUP(C63,CC!$C$5:$BS$67,69,0)</f>
        <v>#N/A</v>
      </c>
      <c r="Q63" s="22" t="e">
        <f>VLOOKUP(C63,CC!$C$5:$BT$67,70,0)</f>
        <v>#N/A</v>
      </c>
      <c r="R63" s="22" t="e">
        <f>VLOOKUP(C63,CC!$C$5:$AM$67,37,0)</f>
        <v>#N/A</v>
      </c>
      <c r="S63" s="22" t="e">
        <f>VLOOKUP(C63,CC!$C$5:$AM$67,35,0)</f>
        <v>#N/A</v>
      </c>
      <c r="T63" s="22" t="e">
        <f t="shared" si="40"/>
        <v>#N/A</v>
      </c>
      <c r="U63" s="22" t="e">
        <f>VLOOKUP(C63,'Công tổng'!$C$53:$BY$67,66,0)-N63</f>
        <v>#N/A</v>
      </c>
      <c r="V63" s="22">
        <f t="shared" si="41"/>
        <v>0</v>
      </c>
      <c r="W63" s="22">
        <f ca="1">(100%-SUMIF('chuyên cần'!$C$6:$AP$31,'Bang luong (chaun)'!C63,'chuyên cần'!$AP$7:$AP$31))*$W$3</f>
        <v>300000</v>
      </c>
      <c r="X63" s="22"/>
      <c r="Y63" s="22"/>
      <c r="Z63" s="22"/>
      <c r="AA63" s="22"/>
      <c r="AB63" s="199">
        <v>0</v>
      </c>
      <c r="AC63" s="106" t="e">
        <f t="shared" ca="1" si="34"/>
        <v>#N/A</v>
      </c>
      <c r="AD63" s="203">
        <f t="shared" si="35"/>
        <v>3745000</v>
      </c>
      <c r="AE63" s="204">
        <f t="shared" si="36"/>
        <v>4213125</v>
      </c>
      <c r="AF63" s="204">
        <v>3932250</v>
      </c>
      <c r="AG63" s="106" t="e">
        <f>'ung luong'!#REF!</f>
        <v>#REF!</v>
      </c>
      <c r="AH63" s="106">
        <f t="shared" si="42"/>
        <v>0</v>
      </c>
      <c r="AI63" s="106" t="e">
        <f t="shared" ca="1" si="43"/>
        <v>#N/A</v>
      </c>
      <c r="AJ63" s="106" t="e">
        <f t="shared" ca="1" si="44"/>
        <v>#N/A</v>
      </c>
      <c r="AK63" s="231"/>
    </row>
    <row r="64" spans="1:39" ht="21" customHeight="1">
      <c r="A64" s="3">
        <f t="shared" si="38"/>
        <v>55</v>
      </c>
      <c r="B64" s="3" t="s">
        <v>598</v>
      </c>
      <c r="C64" s="3" t="s">
        <v>27</v>
      </c>
      <c r="D64" s="3" t="s">
        <v>207</v>
      </c>
      <c r="E64" s="110">
        <v>42417</v>
      </c>
      <c r="F64" s="111">
        <f t="shared" si="20"/>
        <v>0</v>
      </c>
      <c r="G64" s="22">
        <f t="shared" si="1"/>
        <v>3745000</v>
      </c>
      <c r="H64" s="28" t="s">
        <v>667</v>
      </c>
      <c r="I64" s="28">
        <v>1</v>
      </c>
      <c r="J64" s="277">
        <v>3745000</v>
      </c>
      <c r="K64" s="306">
        <f>VLOOKUP(H64,'thang luong moi'!B:I,'Bang luong (chaun)'!I64+1,0)</f>
        <v>4213125</v>
      </c>
      <c r="L64" s="315">
        <f t="shared" si="32"/>
        <v>0.1111111111111111</v>
      </c>
      <c r="M64" s="77" t="e">
        <f>VLOOKUP(C64,CC!$C$5:$AJ$67,34,0)</f>
        <v>#N/A</v>
      </c>
      <c r="N64" s="22" t="e">
        <f>K64/26*M64</f>
        <v>#N/A</v>
      </c>
      <c r="O64" s="22" t="e">
        <f>VLOOKUP(C64,CC!$C$5:$AM$67,36,0)</f>
        <v>#N/A</v>
      </c>
      <c r="P64" s="22" t="e">
        <f>VLOOKUP(C64,CC!$C$5:$BS$67,69,0)</f>
        <v>#N/A</v>
      </c>
      <c r="Q64" s="22" t="e">
        <f>VLOOKUP(C64,CC!$C$5:$BT$67,70,0)</f>
        <v>#N/A</v>
      </c>
      <c r="R64" s="22" t="e">
        <f>VLOOKUP(C64,CC!$C$5:$AM$67,37,0)</f>
        <v>#N/A</v>
      </c>
      <c r="S64" s="22" t="e">
        <f>VLOOKUP(C64,CC!$C$5:$AM$67,35,0)</f>
        <v>#N/A</v>
      </c>
      <c r="T64" s="22" t="e">
        <f>((K64/26)*M64)+(O64*(K64/26))+((P64/8)*1.5*(K64/26))+((Q64/8)*2*K64/26)+(S64*3*(K64/26)+(K64/26)*R64)</f>
        <v>#N/A</v>
      </c>
      <c r="U64" s="22" t="e">
        <f>VLOOKUP(C64,'Công tổng'!$C$53:$BY$67,66,0)-N64</f>
        <v>#N/A</v>
      </c>
      <c r="V64" s="22">
        <f>IF((F64-$V$3)&gt;0,F64%*K64,0)</f>
        <v>0</v>
      </c>
      <c r="W64" s="22">
        <f ca="1">(100%-SUMIF('chuyên cần'!$C$6:$AP$31,'Bang luong (chaun)'!C64,'chuyên cần'!$AP$7:$AP$31))*$W$3</f>
        <v>300000</v>
      </c>
      <c r="X64" s="22"/>
      <c r="Y64" s="22"/>
      <c r="Z64" s="22"/>
      <c r="AA64" s="22"/>
      <c r="AB64" s="199">
        <v>0</v>
      </c>
      <c r="AC64" s="106" t="e">
        <f t="shared" ca="1" si="34"/>
        <v>#N/A</v>
      </c>
      <c r="AD64" s="203">
        <f t="shared" si="35"/>
        <v>3745000</v>
      </c>
      <c r="AE64" s="204">
        <f t="shared" si="36"/>
        <v>4213125</v>
      </c>
      <c r="AF64" s="204">
        <v>3932250</v>
      </c>
      <c r="AG64" s="106" t="e">
        <f>'ung luong'!#REF!</f>
        <v>#REF!</v>
      </c>
      <c r="AH64" s="106">
        <f t="shared" si="42"/>
        <v>0</v>
      </c>
      <c r="AI64" s="106" t="e">
        <f t="shared" ca="1" si="43"/>
        <v>#N/A</v>
      </c>
      <c r="AJ64" s="106" t="e">
        <f t="shared" ca="1" si="44"/>
        <v>#N/A</v>
      </c>
      <c r="AK64" s="231"/>
    </row>
    <row r="65" spans="1:37" ht="21" customHeight="1">
      <c r="A65" s="3">
        <f t="shared" si="38"/>
        <v>56</v>
      </c>
      <c r="B65" s="3" t="s">
        <v>602</v>
      </c>
      <c r="C65" s="3" t="s">
        <v>603</v>
      </c>
      <c r="D65" s="3" t="s">
        <v>207</v>
      </c>
      <c r="E65" s="110">
        <v>42417</v>
      </c>
      <c r="F65" s="111">
        <f t="shared" si="20"/>
        <v>0</v>
      </c>
      <c r="G65" s="22">
        <f t="shared" si="1"/>
        <v>3745000</v>
      </c>
      <c r="H65" s="28" t="s">
        <v>667</v>
      </c>
      <c r="I65" s="28">
        <v>1</v>
      </c>
      <c r="J65" s="277">
        <v>3745000</v>
      </c>
      <c r="K65" s="306">
        <f>VLOOKUP(H65,'thang luong moi'!B:I,'Bang luong (chaun)'!I65+1,0)</f>
        <v>4213125</v>
      </c>
      <c r="L65" s="315">
        <f t="shared" si="32"/>
        <v>0.1111111111111111</v>
      </c>
      <c r="M65" s="77" t="e">
        <f>VLOOKUP(C65,CC!$C$5:$AJ$67,34,0)</f>
        <v>#N/A</v>
      </c>
      <c r="N65" s="22" t="e">
        <f t="shared" ref="N65:N72" si="45">K65/26*M65</f>
        <v>#N/A</v>
      </c>
      <c r="O65" s="22" t="e">
        <f>VLOOKUP(C65,CC!$C$5:$AM$67,36,0)</f>
        <v>#N/A</v>
      </c>
      <c r="P65" s="22" t="e">
        <f>VLOOKUP(C65,CC!$C$5:$BS$67,69,0)</f>
        <v>#N/A</v>
      </c>
      <c r="Q65" s="22" t="e">
        <f>VLOOKUP(C65,CC!$C$5:$BT$67,70,0)</f>
        <v>#N/A</v>
      </c>
      <c r="R65" s="22" t="e">
        <f>VLOOKUP(C65,CC!$C$5:$AM$67,37,0)</f>
        <v>#N/A</v>
      </c>
      <c r="S65" s="22" t="e">
        <f>VLOOKUP(C65,CC!$C$5:$AM$67,35,0)</f>
        <v>#N/A</v>
      </c>
      <c r="T65" s="22" t="e">
        <f t="shared" ref="T65:T72" si="46">((K65/26)*M65)+(O65*(K65/26))+((P65/8)*1.5*(K65/26))+((Q65/8)*2*K65/26)+(S65*3*(K65/26)+(K65/26)*R65)</f>
        <v>#N/A</v>
      </c>
      <c r="U65" s="22" t="e">
        <f>VLOOKUP(C65,'Công tổng'!$C$53:$BY$67,66,0)-N65</f>
        <v>#N/A</v>
      </c>
      <c r="V65" s="22">
        <f t="shared" ref="V65:V72" si="47">IF((F65-$V$3)&gt;0,F65%*K65,0)</f>
        <v>0</v>
      </c>
      <c r="W65" s="22">
        <f ca="1">(100%-SUMIF('chuyên cần'!$C$6:$AP$31,'Bang luong (chaun)'!C65,'chuyên cần'!$AP$7:$AP$31))*$W$3</f>
        <v>300000</v>
      </c>
      <c r="X65" s="22"/>
      <c r="Y65" s="22"/>
      <c r="Z65" s="22"/>
      <c r="AA65" s="22"/>
      <c r="AB65" s="199">
        <v>0</v>
      </c>
      <c r="AC65" s="106" t="e">
        <f t="shared" ca="1" si="34"/>
        <v>#N/A</v>
      </c>
      <c r="AD65" s="203">
        <f t="shared" si="35"/>
        <v>3745000</v>
      </c>
      <c r="AE65" s="204">
        <f t="shared" si="36"/>
        <v>4213125</v>
      </c>
      <c r="AF65" s="204">
        <v>3932250</v>
      </c>
      <c r="AG65" s="106" t="e">
        <f>'ung luong'!#REF!</f>
        <v>#REF!</v>
      </c>
      <c r="AH65" s="106">
        <f t="shared" si="42"/>
        <v>0</v>
      </c>
      <c r="AI65" s="106" t="e">
        <f t="shared" ca="1" si="43"/>
        <v>#N/A</v>
      </c>
      <c r="AJ65" s="106" t="e">
        <f t="shared" ca="1" si="44"/>
        <v>#N/A</v>
      </c>
      <c r="AK65" s="231"/>
    </row>
    <row r="66" spans="1:37" ht="21" customHeight="1">
      <c r="A66" s="3">
        <f t="shared" si="38"/>
        <v>57</v>
      </c>
      <c r="B66" s="3" t="s">
        <v>605</v>
      </c>
      <c r="C66" s="3" t="s">
        <v>614</v>
      </c>
      <c r="D66" s="3" t="s">
        <v>207</v>
      </c>
      <c r="E66" s="110">
        <v>42419</v>
      </c>
      <c r="F66" s="111">
        <f t="shared" si="20"/>
        <v>0</v>
      </c>
      <c r="G66" s="22">
        <f t="shared" si="1"/>
        <v>3745000</v>
      </c>
      <c r="H66" s="28" t="s">
        <v>667</v>
      </c>
      <c r="I66" s="28">
        <v>1</v>
      </c>
      <c r="J66" s="277">
        <v>3745000</v>
      </c>
      <c r="K66" s="306">
        <f>VLOOKUP(H66,'thang luong moi'!B:I,'Bang luong (chaun)'!I66+1,0)</f>
        <v>4213125</v>
      </c>
      <c r="L66" s="315">
        <f t="shared" si="32"/>
        <v>0.1111111111111111</v>
      </c>
      <c r="M66" s="77" t="e">
        <f>VLOOKUP(C66,CC!$C$5:$AJ$67,34,0)</f>
        <v>#N/A</v>
      </c>
      <c r="N66" s="22" t="e">
        <f t="shared" si="45"/>
        <v>#N/A</v>
      </c>
      <c r="O66" s="22" t="e">
        <f>VLOOKUP(C66,CC!$C$5:$AM$67,36,0)</f>
        <v>#N/A</v>
      </c>
      <c r="P66" s="22" t="e">
        <f>VLOOKUP(C66,CC!$C$5:$BS$67,69,0)</f>
        <v>#N/A</v>
      </c>
      <c r="Q66" s="22" t="e">
        <f>VLOOKUP(C66,CC!$C$5:$BT$67,70,0)</f>
        <v>#N/A</v>
      </c>
      <c r="R66" s="22" t="e">
        <f>VLOOKUP(C66,CC!$C$5:$AM$67,37,0)</f>
        <v>#N/A</v>
      </c>
      <c r="S66" s="22" t="e">
        <f>VLOOKUP(C66,CC!$C$5:$AM$67,35,0)</f>
        <v>#N/A</v>
      </c>
      <c r="T66" s="22" t="e">
        <f t="shared" si="46"/>
        <v>#N/A</v>
      </c>
      <c r="U66" s="22" t="e">
        <f>VLOOKUP(C66,'Công tổng'!$C$53:$BY$67,66,0)-N66</f>
        <v>#N/A</v>
      </c>
      <c r="V66" s="22">
        <f t="shared" si="47"/>
        <v>0</v>
      </c>
      <c r="W66" s="22">
        <f ca="1">(100%-SUMIF('chuyên cần'!$C$6:$AP$31,'Bang luong (chaun)'!C66,'chuyên cần'!$AP$7:$AP$31))*$W$3</f>
        <v>300000</v>
      </c>
      <c r="X66" s="22"/>
      <c r="Y66" s="22"/>
      <c r="Z66" s="22"/>
      <c r="AA66" s="22"/>
      <c r="AB66" s="199">
        <v>0</v>
      </c>
      <c r="AC66" s="106" t="e">
        <f t="shared" ca="1" si="34"/>
        <v>#N/A</v>
      </c>
      <c r="AD66" s="203">
        <f t="shared" si="35"/>
        <v>3745000</v>
      </c>
      <c r="AE66" s="204">
        <f t="shared" si="36"/>
        <v>4213125</v>
      </c>
      <c r="AF66" s="204">
        <v>3932250</v>
      </c>
      <c r="AG66" s="106" t="e">
        <f>'ung luong'!#REF!</f>
        <v>#REF!</v>
      </c>
      <c r="AH66" s="106">
        <f t="shared" si="42"/>
        <v>0</v>
      </c>
      <c r="AI66" s="106" t="e">
        <f t="shared" ca="1" si="43"/>
        <v>#N/A</v>
      </c>
      <c r="AJ66" s="106" t="e">
        <f t="shared" ca="1" si="44"/>
        <v>#N/A</v>
      </c>
      <c r="AK66" s="231"/>
    </row>
    <row r="67" spans="1:37" ht="21" customHeight="1">
      <c r="A67" s="3">
        <f t="shared" si="38"/>
        <v>58</v>
      </c>
      <c r="B67" s="3" t="s">
        <v>606</v>
      </c>
      <c r="C67" s="3" t="s">
        <v>615</v>
      </c>
      <c r="D67" s="3" t="s">
        <v>207</v>
      </c>
      <c r="E67" s="110">
        <v>42419</v>
      </c>
      <c r="F67" s="111">
        <f t="shared" si="20"/>
        <v>0</v>
      </c>
      <c r="G67" s="22">
        <f t="shared" si="1"/>
        <v>3745000</v>
      </c>
      <c r="H67" s="28" t="s">
        <v>667</v>
      </c>
      <c r="I67" s="28">
        <v>1</v>
      </c>
      <c r="J67" s="277">
        <v>3745000</v>
      </c>
      <c r="K67" s="306">
        <f>VLOOKUP(H67,'thang luong moi'!B:I,'Bang luong (chaun)'!I67+1,0)</f>
        <v>4213125</v>
      </c>
      <c r="L67" s="315">
        <f t="shared" si="32"/>
        <v>0.1111111111111111</v>
      </c>
      <c r="M67" s="77" t="e">
        <f>VLOOKUP(C67,CC!$C$5:$AJ$67,34,0)</f>
        <v>#N/A</v>
      </c>
      <c r="N67" s="22" t="e">
        <f t="shared" si="45"/>
        <v>#N/A</v>
      </c>
      <c r="O67" s="22" t="e">
        <f>VLOOKUP(C67,CC!$C$5:$AM$67,36,0)</f>
        <v>#N/A</v>
      </c>
      <c r="P67" s="22" t="e">
        <f>VLOOKUP(C67,CC!$C$5:$BS$67,69,0)</f>
        <v>#N/A</v>
      </c>
      <c r="Q67" s="22" t="e">
        <f>VLOOKUP(C67,CC!$C$5:$BT$67,70,0)</f>
        <v>#N/A</v>
      </c>
      <c r="R67" s="22" t="e">
        <f>VLOOKUP(C67,CC!$C$5:$AM$67,37,0)</f>
        <v>#N/A</v>
      </c>
      <c r="S67" s="22" t="e">
        <f>VLOOKUP(C67,CC!$C$5:$AM$67,35,0)</f>
        <v>#N/A</v>
      </c>
      <c r="T67" s="22" t="e">
        <f t="shared" si="46"/>
        <v>#N/A</v>
      </c>
      <c r="U67" s="22" t="e">
        <f>VLOOKUP(C67,'Công tổng'!$C$53:$BY$67,66,0)-N67</f>
        <v>#N/A</v>
      </c>
      <c r="V67" s="22">
        <f t="shared" si="47"/>
        <v>0</v>
      </c>
      <c r="W67" s="22">
        <f ca="1">(100%-SUMIF('chuyên cần'!$C$6:$AP$31,'Bang luong (chaun)'!C67,'chuyên cần'!$AP$7:$AP$31))*$W$3</f>
        <v>300000</v>
      </c>
      <c r="X67" s="22"/>
      <c r="Y67" s="22"/>
      <c r="Z67" s="22"/>
      <c r="AA67" s="22"/>
      <c r="AB67" s="199">
        <v>0</v>
      </c>
      <c r="AC67" s="106" t="e">
        <f t="shared" ca="1" si="34"/>
        <v>#N/A</v>
      </c>
      <c r="AD67" s="203">
        <f t="shared" si="35"/>
        <v>3745000</v>
      </c>
      <c r="AE67" s="204">
        <f t="shared" si="36"/>
        <v>4213125</v>
      </c>
      <c r="AF67" s="204">
        <v>3932250</v>
      </c>
      <c r="AG67" s="106" t="e">
        <f>'ung luong'!#REF!</f>
        <v>#REF!</v>
      </c>
      <c r="AH67" s="106">
        <f t="shared" si="42"/>
        <v>0</v>
      </c>
      <c r="AI67" s="106" t="e">
        <f t="shared" ca="1" si="43"/>
        <v>#N/A</v>
      </c>
      <c r="AJ67" s="106" t="e">
        <f t="shared" ca="1" si="44"/>
        <v>#N/A</v>
      </c>
      <c r="AK67" s="231"/>
    </row>
    <row r="68" spans="1:37" ht="21" customHeight="1">
      <c r="A68" s="3">
        <f t="shared" si="38"/>
        <v>59</v>
      </c>
      <c r="B68" s="3" t="s">
        <v>607</v>
      </c>
      <c r="C68" s="3" t="s">
        <v>616</v>
      </c>
      <c r="D68" s="3" t="s">
        <v>207</v>
      </c>
      <c r="E68" s="110">
        <v>42419</v>
      </c>
      <c r="F68" s="111">
        <f t="shared" si="20"/>
        <v>0</v>
      </c>
      <c r="G68" s="22">
        <f t="shared" si="1"/>
        <v>3745000</v>
      </c>
      <c r="H68" s="28" t="s">
        <v>667</v>
      </c>
      <c r="I68" s="28">
        <v>1</v>
      </c>
      <c r="J68" s="277">
        <v>3745000</v>
      </c>
      <c r="K68" s="306">
        <f>VLOOKUP(H68,'thang luong moi'!B:I,'Bang luong (chaun)'!I68+1,0)</f>
        <v>4213125</v>
      </c>
      <c r="L68" s="315">
        <f t="shared" si="32"/>
        <v>0.1111111111111111</v>
      </c>
      <c r="M68" s="77" t="e">
        <f>VLOOKUP(C68,CC!$C$5:$AJ$67,34,0)</f>
        <v>#N/A</v>
      </c>
      <c r="N68" s="22" t="e">
        <f t="shared" si="45"/>
        <v>#N/A</v>
      </c>
      <c r="O68" s="22" t="e">
        <f>VLOOKUP(C68,CC!$C$5:$AM$67,36,0)</f>
        <v>#N/A</v>
      </c>
      <c r="P68" s="22" t="e">
        <f>VLOOKUP(C68,CC!$C$5:$BS$67,69,0)</f>
        <v>#N/A</v>
      </c>
      <c r="Q68" s="22" t="e">
        <f>VLOOKUP(C68,CC!$C$5:$BT$67,70,0)</f>
        <v>#N/A</v>
      </c>
      <c r="R68" s="22" t="e">
        <f>VLOOKUP(C68,CC!$C$5:$AM$67,37,0)</f>
        <v>#N/A</v>
      </c>
      <c r="S68" s="22" t="e">
        <f>VLOOKUP(C68,CC!$C$5:$AM$67,35,0)</f>
        <v>#N/A</v>
      </c>
      <c r="T68" s="22" t="e">
        <f t="shared" si="46"/>
        <v>#N/A</v>
      </c>
      <c r="U68" s="22" t="e">
        <f>VLOOKUP(C68,'Công tổng'!$C$53:$BY$67,66,0)-N68</f>
        <v>#N/A</v>
      </c>
      <c r="V68" s="22">
        <f t="shared" si="47"/>
        <v>0</v>
      </c>
      <c r="W68" s="22">
        <f ca="1">(100%-SUMIF('chuyên cần'!$C$6:$AP$31,'Bang luong (chaun)'!C68,'chuyên cần'!$AP$7:$AP$31))*$W$3</f>
        <v>300000</v>
      </c>
      <c r="X68" s="22"/>
      <c r="Y68" s="22"/>
      <c r="Z68" s="22"/>
      <c r="AA68" s="22"/>
      <c r="AB68" s="199">
        <v>0</v>
      </c>
      <c r="AC68" s="106" t="e">
        <f t="shared" ca="1" si="34"/>
        <v>#N/A</v>
      </c>
      <c r="AD68" s="203">
        <f t="shared" si="35"/>
        <v>3745000</v>
      </c>
      <c r="AE68" s="204">
        <f t="shared" si="36"/>
        <v>4213125</v>
      </c>
      <c r="AF68" s="204">
        <v>3932250</v>
      </c>
      <c r="AG68" s="106" t="e">
        <f>'ung luong'!#REF!</f>
        <v>#REF!</v>
      </c>
      <c r="AH68" s="106">
        <f t="shared" si="42"/>
        <v>0</v>
      </c>
      <c r="AI68" s="106" t="e">
        <f t="shared" ca="1" si="43"/>
        <v>#N/A</v>
      </c>
      <c r="AJ68" s="106" t="e">
        <f t="shared" ca="1" si="44"/>
        <v>#N/A</v>
      </c>
      <c r="AK68" s="231"/>
    </row>
    <row r="69" spans="1:37" ht="21" customHeight="1">
      <c r="A69" s="3">
        <f t="shared" si="38"/>
        <v>60</v>
      </c>
      <c r="B69" s="3" t="s">
        <v>608</v>
      </c>
      <c r="C69" s="3" t="s">
        <v>617</v>
      </c>
      <c r="D69" s="3" t="s">
        <v>207</v>
      </c>
      <c r="E69" s="110">
        <v>42420</v>
      </c>
      <c r="F69" s="111">
        <f t="shared" si="20"/>
        <v>0</v>
      </c>
      <c r="G69" s="22">
        <f t="shared" si="1"/>
        <v>3745000</v>
      </c>
      <c r="H69" s="28" t="s">
        <v>667</v>
      </c>
      <c r="I69" s="28">
        <v>1</v>
      </c>
      <c r="J69" s="277">
        <v>3745000</v>
      </c>
      <c r="K69" s="306">
        <f>VLOOKUP(H69,'thang luong moi'!B:I,'Bang luong (chaun)'!I69+1,0)</f>
        <v>4213125</v>
      </c>
      <c r="L69" s="315">
        <f t="shared" si="32"/>
        <v>0.1111111111111111</v>
      </c>
      <c r="M69" s="77" t="e">
        <f>VLOOKUP(C69,CC!$C$5:$AJ$67,34,0)</f>
        <v>#N/A</v>
      </c>
      <c r="N69" s="22" t="e">
        <f t="shared" si="45"/>
        <v>#N/A</v>
      </c>
      <c r="O69" s="22" t="e">
        <f>VLOOKUP(C69,CC!$C$5:$AM$67,36,0)</f>
        <v>#N/A</v>
      </c>
      <c r="P69" s="22" t="e">
        <f>VLOOKUP(C69,CC!$C$5:$BS$67,69,0)</f>
        <v>#N/A</v>
      </c>
      <c r="Q69" s="22" t="e">
        <f>VLOOKUP(C69,CC!$C$5:$BT$67,70,0)</f>
        <v>#N/A</v>
      </c>
      <c r="R69" s="22" t="e">
        <f>VLOOKUP(C69,CC!$C$5:$AM$67,37,0)</f>
        <v>#N/A</v>
      </c>
      <c r="S69" s="22" t="e">
        <f>VLOOKUP(C69,CC!$C$5:$AM$67,35,0)</f>
        <v>#N/A</v>
      </c>
      <c r="T69" s="22" t="e">
        <f t="shared" si="46"/>
        <v>#N/A</v>
      </c>
      <c r="U69" s="22" t="e">
        <f>VLOOKUP(C69,'Công tổng'!$C$53:$BY$67,66,0)-N69</f>
        <v>#N/A</v>
      </c>
      <c r="V69" s="22">
        <f t="shared" si="47"/>
        <v>0</v>
      </c>
      <c r="W69" s="22">
        <f ca="1">(100%-SUMIF('chuyên cần'!$C$6:$AP$31,'Bang luong (chaun)'!C69,'chuyên cần'!$AP$7:$AP$31))*$W$3</f>
        <v>300000</v>
      </c>
      <c r="X69" s="22"/>
      <c r="Y69" s="22"/>
      <c r="Z69" s="22"/>
      <c r="AA69" s="22"/>
      <c r="AB69" s="199">
        <v>0</v>
      </c>
      <c r="AC69" s="106" t="e">
        <f t="shared" ca="1" si="34"/>
        <v>#N/A</v>
      </c>
      <c r="AD69" s="203">
        <f t="shared" si="35"/>
        <v>3745000</v>
      </c>
      <c r="AE69" s="204">
        <f t="shared" si="36"/>
        <v>4213125</v>
      </c>
      <c r="AF69" s="204">
        <v>3932250</v>
      </c>
      <c r="AG69" s="106" t="e">
        <f>'ung luong'!#REF!</f>
        <v>#REF!</v>
      </c>
      <c r="AH69" s="106">
        <f t="shared" si="42"/>
        <v>0</v>
      </c>
      <c r="AI69" s="106" t="e">
        <f t="shared" ca="1" si="43"/>
        <v>#N/A</v>
      </c>
      <c r="AJ69" s="106" t="e">
        <f t="shared" ca="1" si="44"/>
        <v>#N/A</v>
      </c>
      <c r="AK69" s="231"/>
    </row>
    <row r="70" spans="1:37" ht="21" customHeight="1">
      <c r="A70" s="3">
        <f t="shared" si="38"/>
        <v>61</v>
      </c>
      <c r="B70" s="3" t="s">
        <v>609</v>
      </c>
      <c r="C70" s="3" t="s">
        <v>618</v>
      </c>
      <c r="D70" s="3" t="s">
        <v>207</v>
      </c>
      <c r="E70" s="110">
        <v>42422</v>
      </c>
      <c r="F70" s="111">
        <f t="shared" si="20"/>
        <v>0</v>
      </c>
      <c r="G70" s="22">
        <f t="shared" si="1"/>
        <v>3745000</v>
      </c>
      <c r="H70" s="28" t="s">
        <v>667</v>
      </c>
      <c r="I70" s="28">
        <v>1</v>
      </c>
      <c r="J70" s="277">
        <v>3745000</v>
      </c>
      <c r="K70" s="306">
        <f>VLOOKUP(H70,'thang luong moi'!B:I,'Bang luong (chaun)'!I70+1,0)</f>
        <v>4213125</v>
      </c>
      <c r="L70" s="315">
        <f t="shared" si="32"/>
        <v>0.1111111111111111</v>
      </c>
      <c r="M70" s="77" t="e">
        <f>VLOOKUP(C70,CC!$C$5:$AJ$67,34,0)</f>
        <v>#N/A</v>
      </c>
      <c r="N70" s="22" t="e">
        <f t="shared" si="45"/>
        <v>#N/A</v>
      </c>
      <c r="O70" s="22" t="e">
        <f>VLOOKUP(C70,CC!$C$5:$AM$67,36,0)</f>
        <v>#N/A</v>
      </c>
      <c r="P70" s="22" t="e">
        <f>VLOOKUP(C70,CC!$C$5:$BS$67,69,0)</f>
        <v>#N/A</v>
      </c>
      <c r="Q70" s="22" t="e">
        <f>VLOOKUP(C70,CC!$C$5:$BT$67,70,0)</f>
        <v>#N/A</v>
      </c>
      <c r="R70" s="22" t="e">
        <f>VLOOKUP(C70,CC!$C$5:$AM$67,37,0)</f>
        <v>#N/A</v>
      </c>
      <c r="S70" s="22" t="e">
        <f>VLOOKUP(C70,CC!$C$5:$AM$67,35,0)</f>
        <v>#N/A</v>
      </c>
      <c r="T70" s="22" t="e">
        <f t="shared" si="46"/>
        <v>#N/A</v>
      </c>
      <c r="U70" s="22" t="e">
        <f>VLOOKUP(C70,'Công tổng'!$C$53:$BY$67,66,0)-N70</f>
        <v>#N/A</v>
      </c>
      <c r="V70" s="22">
        <f t="shared" si="47"/>
        <v>0</v>
      </c>
      <c r="W70" s="22">
        <f ca="1">(100%-SUMIF('chuyên cần'!$C$6:$AP$31,'Bang luong (chaun)'!C70,'chuyên cần'!$AP$7:$AP$31))*$W$3</f>
        <v>300000</v>
      </c>
      <c r="X70" s="22"/>
      <c r="Y70" s="22"/>
      <c r="Z70" s="22"/>
      <c r="AA70" s="22"/>
      <c r="AB70" s="199">
        <v>0</v>
      </c>
      <c r="AC70" s="106" t="e">
        <f t="shared" ca="1" si="34"/>
        <v>#N/A</v>
      </c>
      <c r="AD70" s="203">
        <f t="shared" si="35"/>
        <v>3745000</v>
      </c>
      <c r="AE70" s="204">
        <f t="shared" si="36"/>
        <v>4213125</v>
      </c>
      <c r="AF70" s="204">
        <v>3932250</v>
      </c>
      <c r="AG70" s="106" t="e">
        <f>'ung luong'!#REF!</f>
        <v>#REF!</v>
      </c>
      <c r="AH70" s="106">
        <f t="shared" si="42"/>
        <v>0</v>
      </c>
      <c r="AI70" s="106" t="e">
        <f t="shared" ca="1" si="43"/>
        <v>#N/A</v>
      </c>
      <c r="AJ70" s="106" t="e">
        <f t="shared" ca="1" si="44"/>
        <v>#N/A</v>
      </c>
      <c r="AK70" s="231"/>
    </row>
    <row r="71" spans="1:37" ht="21" customHeight="1">
      <c r="A71" s="3">
        <f t="shared" si="38"/>
        <v>62</v>
      </c>
      <c r="B71" s="3" t="s">
        <v>610</v>
      </c>
      <c r="C71" s="3" t="s">
        <v>619</v>
      </c>
      <c r="D71" s="3" t="s">
        <v>207</v>
      </c>
      <c r="E71" s="110">
        <v>42422</v>
      </c>
      <c r="F71" s="111">
        <f t="shared" si="20"/>
        <v>0</v>
      </c>
      <c r="G71" s="22">
        <f t="shared" si="1"/>
        <v>3745000</v>
      </c>
      <c r="H71" s="28" t="s">
        <v>667</v>
      </c>
      <c r="I71" s="28">
        <v>1</v>
      </c>
      <c r="J71" s="277">
        <v>3745000</v>
      </c>
      <c r="K71" s="306">
        <f>VLOOKUP(H71,'thang luong moi'!B:I,'Bang luong (chaun)'!I71+1,0)</f>
        <v>4213125</v>
      </c>
      <c r="L71" s="315">
        <f t="shared" si="32"/>
        <v>0.1111111111111111</v>
      </c>
      <c r="M71" s="77" t="e">
        <f>VLOOKUP(C71,CC!$C$5:$AJ$67,34,0)</f>
        <v>#N/A</v>
      </c>
      <c r="N71" s="22" t="e">
        <f t="shared" si="45"/>
        <v>#N/A</v>
      </c>
      <c r="O71" s="22" t="e">
        <f>VLOOKUP(C71,CC!$C$5:$AM$67,36,0)</f>
        <v>#N/A</v>
      </c>
      <c r="P71" s="22" t="e">
        <f>VLOOKUP(C71,CC!$C$5:$BS$67,69,0)</f>
        <v>#N/A</v>
      </c>
      <c r="Q71" s="22" t="e">
        <f>VLOOKUP(C71,CC!$C$5:$BT$67,70,0)</f>
        <v>#N/A</v>
      </c>
      <c r="R71" s="22" t="e">
        <f>VLOOKUP(C71,CC!$C$5:$AM$67,37,0)</f>
        <v>#N/A</v>
      </c>
      <c r="S71" s="22" t="e">
        <f>VLOOKUP(C71,CC!$C$5:$AM$67,35,0)</f>
        <v>#N/A</v>
      </c>
      <c r="T71" s="22" t="e">
        <f t="shared" si="46"/>
        <v>#N/A</v>
      </c>
      <c r="U71" s="22" t="e">
        <f>VLOOKUP(C71,'Công tổng'!$C$53:$BY$67,66,0)-N71</f>
        <v>#N/A</v>
      </c>
      <c r="V71" s="22">
        <f t="shared" si="47"/>
        <v>0</v>
      </c>
      <c r="W71" s="22">
        <f ca="1">(100%-SUMIF('chuyên cần'!$C$6:$AP$31,'Bang luong (chaun)'!C71,'chuyên cần'!$AP$7:$AP$31))*$W$3</f>
        <v>300000</v>
      </c>
      <c r="X71" s="22"/>
      <c r="Y71" s="22"/>
      <c r="Z71" s="22"/>
      <c r="AA71" s="22"/>
      <c r="AB71" s="199">
        <v>0</v>
      </c>
      <c r="AC71" s="106" t="e">
        <f t="shared" ca="1" si="34"/>
        <v>#N/A</v>
      </c>
      <c r="AD71" s="203">
        <f t="shared" si="35"/>
        <v>3745000</v>
      </c>
      <c r="AE71" s="204">
        <f t="shared" si="36"/>
        <v>4213125</v>
      </c>
      <c r="AF71" s="204">
        <v>3932250</v>
      </c>
      <c r="AG71" s="106" t="e">
        <f>'ung luong'!#REF!</f>
        <v>#REF!</v>
      </c>
      <c r="AH71" s="106">
        <f t="shared" si="42"/>
        <v>0</v>
      </c>
      <c r="AI71" s="106" t="e">
        <f t="shared" ca="1" si="43"/>
        <v>#N/A</v>
      </c>
      <c r="AJ71" s="106" t="e">
        <f t="shared" ca="1" si="44"/>
        <v>#N/A</v>
      </c>
      <c r="AK71" s="231"/>
    </row>
    <row r="72" spans="1:37" ht="21" customHeight="1">
      <c r="A72" s="3">
        <f t="shared" si="38"/>
        <v>63</v>
      </c>
      <c r="B72" s="3" t="s">
        <v>611</v>
      </c>
      <c r="C72" s="3" t="s">
        <v>620</v>
      </c>
      <c r="D72" s="3" t="s">
        <v>207</v>
      </c>
      <c r="E72" s="110">
        <v>42422</v>
      </c>
      <c r="F72" s="111">
        <f t="shared" si="20"/>
        <v>0</v>
      </c>
      <c r="G72" s="22">
        <f t="shared" si="1"/>
        <v>3745000</v>
      </c>
      <c r="H72" s="28" t="s">
        <v>667</v>
      </c>
      <c r="I72" s="28">
        <v>1</v>
      </c>
      <c r="J72" s="277">
        <v>3745000</v>
      </c>
      <c r="K72" s="306">
        <f>VLOOKUP(H72,'thang luong moi'!B:I,'Bang luong (chaun)'!I72+1,0)</f>
        <v>4213125</v>
      </c>
      <c r="L72" s="315">
        <f t="shared" si="32"/>
        <v>0.1111111111111111</v>
      </c>
      <c r="M72" s="77">
        <f>VLOOKUP(C72,CC!$C$5:$AJ$67,34,0)</f>
        <v>27</v>
      </c>
      <c r="N72" s="22">
        <f t="shared" si="45"/>
        <v>4375168.269230769</v>
      </c>
      <c r="O72" s="22">
        <f>VLOOKUP(C72,CC!$C$5:$AM$67,36,0)</f>
        <v>0</v>
      </c>
      <c r="P72" s="22">
        <f>VLOOKUP(C72,CC!$C$5:$BS$67,69,0)</f>
        <v>0</v>
      </c>
      <c r="Q72" s="22">
        <f>VLOOKUP(C72,CC!$C$5:$BT$67,70,0)</f>
        <v>0</v>
      </c>
      <c r="R72" s="22">
        <f>VLOOKUP(C72,CC!$C$5:$AM$67,37,0)</f>
        <v>0</v>
      </c>
      <c r="S72" s="22">
        <f>VLOOKUP(C72,CC!$C$5:$AM$67,35,0)</f>
        <v>0</v>
      </c>
      <c r="T72" s="22">
        <f t="shared" si="46"/>
        <v>4375168.269230769</v>
      </c>
      <c r="U72" s="22">
        <f>VLOOKUP(C72,'Công tổng'!$C$53:$BY$67,66,0)-N72</f>
        <v>-4375168.269230769</v>
      </c>
      <c r="V72" s="22">
        <f t="shared" si="47"/>
        <v>0</v>
      </c>
      <c r="W72" s="22">
        <f ca="1">(100%-SUMIF('chuyên cần'!$C$6:$AP$31,'Bang luong (chaun)'!C72,'chuyên cần'!$AP$7:$AP$31))*$W$3</f>
        <v>300000</v>
      </c>
      <c r="X72" s="22"/>
      <c r="Y72" s="22"/>
      <c r="Z72" s="22"/>
      <c r="AA72" s="22"/>
      <c r="AB72" s="199">
        <v>0</v>
      </c>
      <c r="AC72" s="106">
        <f t="shared" ca="1" si="34"/>
        <v>300000</v>
      </c>
      <c r="AD72" s="203">
        <f t="shared" si="35"/>
        <v>3745000</v>
      </c>
      <c r="AE72" s="204">
        <f t="shared" si="36"/>
        <v>4213125</v>
      </c>
      <c r="AF72" s="204">
        <v>3932250</v>
      </c>
      <c r="AG72" s="106" t="e">
        <f>'ung luong'!#REF!</f>
        <v>#REF!</v>
      </c>
      <c r="AH72" s="106">
        <f t="shared" si="42"/>
        <v>0</v>
      </c>
      <c r="AI72" s="106" t="e">
        <f t="shared" ca="1" si="43"/>
        <v>#REF!</v>
      </c>
      <c r="AJ72" s="106" t="e">
        <f t="shared" ca="1" si="44"/>
        <v>#REF!</v>
      </c>
      <c r="AK72" s="231"/>
    </row>
    <row r="73" spans="1:37" ht="21" customHeight="1">
      <c r="A73" s="3">
        <f t="shared" si="38"/>
        <v>64</v>
      </c>
      <c r="B73" s="3" t="s">
        <v>612</v>
      </c>
      <c r="C73" s="3" t="s">
        <v>621</v>
      </c>
      <c r="D73" s="3" t="s">
        <v>207</v>
      </c>
      <c r="E73" s="110">
        <v>42423</v>
      </c>
      <c r="F73" s="111">
        <f t="shared" si="20"/>
        <v>0</v>
      </c>
      <c r="G73" s="22">
        <f t="shared" si="1"/>
        <v>3745000</v>
      </c>
      <c r="H73" s="28" t="s">
        <v>667</v>
      </c>
      <c r="I73" s="28">
        <v>1</v>
      </c>
      <c r="J73" s="277">
        <v>3745000</v>
      </c>
      <c r="K73" s="306">
        <f>VLOOKUP(H73,'thang luong moi'!B:I,'Bang luong (chaun)'!I73+1,0)</f>
        <v>4213125</v>
      </c>
      <c r="L73" s="315">
        <f t="shared" si="32"/>
        <v>0.1111111111111111</v>
      </c>
      <c r="M73" s="77" t="e">
        <f>VLOOKUP(C73,CC!$C$5:$AJ$67,34,0)</f>
        <v>#N/A</v>
      </c>
      <c r="N73" s="22" t="e">
        <f t="shared" ref="N73:N79" si="48">K73/26*M73</f>
        <v>#N/A</v>
      </c>
      <c r="O73" s="22" t="e">
        <f>VLOOKUP(C73,CC!$C$5:$AM$67,36,0)</f>
        <v>#N/A</v>
      </c>
      <c r="P73" s="22" t="e">
        <f>VLOOKUP(C73,CC!$C$5:$BS$67,69,0)</f>
        <v>#N/A</v>
      </c>
      <c r="Q73" s="22" t="e">
        <f>VLOOKUP(C73,CC!$C$5:$BT$67,70,0)</f>
        <v>#N/A</v>
      </c>
      <c r="R73" s="22" t="e">
        <f>VLOOKUP(C73,CC!$C$5:$AM$67,37,0)</f>
        <v>#N/A</v>
      </c>
      <c r="S73" s="22" t="e">
        <f>VLOOKUP(C73,CC!$C$5:$AM$67,35,0)</f>
        <v>#N/A</v>
      </c>
      <c r="T73" s="22" t="e">
        <f t="shared" ref="T73:T79" si="49">((K73/26)*M73)+(O73*(K73/26))+((P73/8)*1.5*(K73/26))+((Q73/8)*2*K73/26)+(S73*3*(K73/26)+(K73/26)*R73)</f>
        <v>#N/A</v>
      </c>
      <c r="U73" s="22" t="e">
        <f>VLOOKUP(C73,'Công tổng'!$C$53:$BY$67,66,0)-N73</f>
        <v>#N/A</v>
      </c>
      <c r="V73" s="22">
        <f t="shared" ref="V73:V79" si="50">IF((F73-$V$3)&gt;0,F73%*K73,0)</f>
        <v>0</v>
      </c>
      <c r="W73" s="22">
        <f ca="1">(100%-SUMIF('chuyên cần'!$C$6:$AP$31,'Bang luong (chaun)'!C73,'chuyên cần'!$AP$7:$AP$31))*$W$3</f>
        <v>300000</v>
      </c>
      <c r="X73" s="22"/>
      <c r="Y73" s="22"/>
      <c r="Z73" s="22"/>
      <c r="AA73" s="22"/>
      <c r="AB73" s="199">
        <v>0</v>
      </c>
      <c r="AC73" s="106" t="e">
        <f t="shared" ca="1" si="34"/>
        <v>#N/A</v>
      </c>
      <c r="AD73" s="203">
        <f t="shared" si="35"/>
        <v>3745000</v>
      </c>
      <c r="AE73" s="204">
        <f t="shared" si="36"/>
        <v>4213125</v>
      </c>
      <c r="AF73" s="204">
        <v>3932250</v>
      </c>
      <c r="AG73" s="106" t="e">
        <f>'ung luong'!#REF!</f>
        <v>#REF!</v>
      </c>
      <c r="AH73" s="106">
        <f t="shared" ref="AH73:AH79" si="51">AM73*$AH$2</f>
        <v>0</v>
      </c>
      <c r="AI73" s="106" t="e">
        <f t="shared" ref="AI73:AI79" ca="1" si="52">AC73-AG73-AH73</f>
        <v>#N/A</v>
      </c>
      <c r="AJ73" s="106" t="e">
        <f t="shared" ref="AJ73:AJ79" ca="1" si="53">ROUND(AI73,-3)</f>
        <v>#N/A</v>
      </c>
      <c r="AK73" s="231"/>
    </row>
    <row r="74" spans="1:37" ht="21" customHeight="1">
      <c r="A74" s="3">
        <f t="shared" si="38"/>
        <v>65</v>
      </c>
      <c r="B74" s="3" t="s">
        <v>613</v>
      </c>
      <c r="C74" s="3" t="s">
        <v>622</v>
      </c>
      <c r="D74" s="3" t="s">
        <v>207</v>
      </c>
      <c r="E74" s="110">
        <v>42424</v>
      </c>
      <c r="F74" s="111">
        <f t="shared" si="20"/>
        <v>0</v>
      </c>
      <c r="G74" s="22">
        <f t="shared" si="1"/>
        <v>3745000</v>
      </c>
      <c r="H74" s="28" t="s">
        <v>667</v>
      </c>
      <c r="I74" s="28">
        <v>1</v>
      </c>
      <c r="J74" s="277">
        <v>3745000</v>
      </c>
      <c r="K74" s="306">
        <f>VLOOKUP(H74,'thang luong moi'!B:I,'Bang luong (chaun)'!I74+1,0)</f>
        <v>4213125</v>
      </c>
      <c r="L74" s="315">
        <f t="shared" si="32"/>
        <v>0.1111111111111111</v>
      </c>
      <c r="M74" s="77" t="e">
        <f>VLOOKUP(C74,CC!$C$5:$AJ$67,34,0)</f>
        <v>#N/A</v>
      </c>
      <c r="N74" s="22" t="e">
        <f t="shared" si="48"/>
        <v>#N/A</v>
      </c>
      <c r="O74" s="22" t="e">
        <f>VLOOKUP(C74,CC!$C$5:$AM$67,36,0)</f>
        <v>#N/A</v>
      </c>
      <c r="P74" s="22" t="e">
        <f>VLOOKUP(C74,CC!$C$5:$BS$67,69,0)</f>
        <v>#N/A</v>
      </c>
      <c r="Q74" s="22" t="e">
        <f>VLOOKUP(C74,CC!$C$5:$BT$67,70,0)</f>
        <v>#N/A</v>
      </c>
      <c r="R74" s="22" t="e">
        <f>VLOOKUP(C74,CC!$C$5:$AM$67,37,0)</f>
        <v>#N/A</v>
      </c>
      <c r="S74" s="22" t="e">
        <f>VLOOKUP(C74,CC!$C$5:$AM$67,35,0)</f>
        <v>#N/A</v>
      </c>
      <c r="T74" s="22" t="e">
        <f t="shared" si="49"/>
        <v>#N/A</v>
      </c>
      <c r="U74" s="22" t="e">
        <f>VLOOKUP(C74,'Công tổng'!$C$53:$BY$67,66,0)-N74</f>
        <v>#N/A</v>
      </c>
      <c r="V74" s="22">
        <f t="shared" si="50"/>
        <v>0</v>
      </c>
      <c r="W74" s="22">
        <f ca="1">(100%-SUMIF('chuyên cần'!$C$6:$AP$31,'Bang luong (chaun)'!C74,'chuyên cần'!$AP$7:$AP$31))*$W$3</f>
        <v>300000</v>
      </c>
      <c r="X74" s="22"/>
      <c r="Y74" s="22"/>
      <c r="Z74" s="22"/>
      <c r="AA74" s="22"/>
      <c r="AB74" s="199">
        <v>0</v>
      </c>
      <c r="AC74" s="106" t="e">
        <f t="shared" ca="1" si="34"/>
        <v>#N/A</v>
      </c>
      <c r="AD74" s="203">
        <f t="shared" si="35"/>
        <v>3745000</v>
      </c>
      <c r="AE74" s="204">
        <f t="shared" si="36"/>
        <v>4213125</v>
      </c>
      <c r="AF74" s="204">
        <v>3932250</v>
      </c>
      <c r="AG74" s="106" t="e">
        <f>'ung luong'!#REF!</f>
        <v>#REF!</v>
      </c>
      <c r="AH74" s="106">
        <f t="shared" si="51"/>
        <v>0</v>
      </c>
      <c r="AI74" s="106" t="e">
        <f t="shared" ca="1" si="52"/>
        <v>#N/A</v>
      </c>
      <c r="AJ74" s="106" t="e">
        <f t="shared" ca="1" si="53"/>
        <v>#N/A</v>
      </c>
      <c r="AK74" s="231"/>
    </row>
    <row r="75" spans="1:37" ht="21" customHeight="1">
      <c r="A75" s="3">
        <f t="shared" si="38"/>
        <v>66</v>
      </c>
      <c r="B75" s="3" t="s">
        <v>623</v>
      </c>
      <c r="C75" s="3" t="s">
        <v>625</v>
      </c>
      <c r="D75" s="3" t="s">
        <v>207</v>
      </c>
      <c r="E75" s="110">
        <v>42425</v>
      </c>
      <c r="F75" s="111">
        <f t="shared" si="20"/>
        <v>0</v>
      </c>
      <c r="G75" s="22">
        <f t="shared" si="1"/>
        <v>3745000</v>
      </c>
      <c r="H75" s="28" t="s">
        <v>667</v>
      </c>
      <c r="I75" s="28">
        <v>1</v>
      </c>
      <c r="J75" s="277">
        <v>3745000</v>
      </c>
      <c r="K75" s="306">
        <f>VLOOKUP(H75,'thang luong moi'!B:I,'Bang luong (chaun)'!I75+1,0)</f>
        <v>4213125</v>
      </c>
      <c r="L75" s="315">
        <f t="shared" si="32"/>
        <v>0.1111111111111111</v>
      </c>
      <c r="M75" s="77" t="e">
        <f>VLOOKUP(C75,CC!$C$5:$AJ$67,34,0)</f>
        <v>#N/A</v>
      </c>
      <c r="N75" s="22" t="e">
        <f t="shared" si="48"/>
        <v>#N/A</v>
      </c>
      <c r="O75" s="22" t="e">
        <f>VLOOKUP(C75,CC!$C$5:$AM$67,36,0)</f>
        <v>#N/A</v>
      </c>
      <c r="P75" s="22" t="e">
        <f>VLOOKUP(C75,CC!$C$5:$BS$67,69,0)</f>
        <v>#N/A</v>
      </c>
      <c r="Q75" s="22" t="e">
        <f>VLOOKUP(C75,CC!$C$5:$BT$67,70,0)</f>
        <v>#N/A</v>
      </c>
      <c r="R75" s="22" t="e">
        <f>VLOOKUP(C75,CC!$C$5:$AM$67,37,0)</f>
        <v>#N/A</v>
      </c>
      <c r="S75" s="22" t="e">
        <f>VLOOKUP(C75,CC!$C$5:$AM$67,35,0)</f>
        <v>#N/A</v>
      </c>
      <c r="T75" s="22" t="e">
        <f t="shared" si="49"/>
        <v>#N/A</v>
      </c>
      <c r="U75" s="22" t="e">
        <f>VLOOKUP(C75,'Công tổng'!$C$53:$BY$67,66,0)-N75</f>
        <v>#N/A</v>
      </c>
      <c r="V75" s="22">
        <f t="shared" si="50"/>
        <v>0</v>
      </c>
      <c r="W75" s="22">
        <f ca="1">(100%-SUMIF('chuyên cần'!$C$6:$AP$31,'Bang luong (chaun)'!C75,'chuyên cần'!$AP$7:$AP$31))*$W$3</f>
        <v>300000</v>
      </c>
      <c r="X75" s="22"/>
      <c r="Y75" s="22"/>
      <c r="Z75" s="22"/>
      <c r="AA75" s="22"/>
      <c r="AB75" s="199">
        <v>0</v>
      </c>
      <c r="AC75" s="106" t="e">
        <f t="shared" ca="1" si="34"/>
        <v>#N/A</v>
      </c>
      <c r="AD75" s="203">
        <f t="shared" si="35"/>
        <v>3745000</v>
      </c>
      <c r="AE75" s="204">
        <f t="shared" si="36"/>
        <v>4213125</v>
      </c>
      <c r="AF75" s="204">
        <v>3932250</v>
      </c>
      <c r="AG75" s="106" t="e">
        <f>'ung luong'!#REF!</f>
        <v>#REF!</v>
      </c>
      <c r="AH75" s="106">
        <f t="shared" si="51"/>
        <v>0</v>
      </c>
      <c r="AI75" s="106" t="e">
        <f t="shared" ca="1" si="52"/>
        <v>#N/A</v>
      </c>
      <c r="AJ75" s="106" t="e">
        <f t="shared" ca="1" si="53"/>
        <v>#N/A</v>
      </c>
      <c r="AK75" s="231"/>
    </row>
    <row r="76" spans="1:37" ht="21" customHeight="1">
      <c r="A76" s="3">
        <f t="shared" si="38"/>
        <v>67</v>
      </c>
      <c r="B76" s="3" t="s">
        <v>624</v>
      </c>
      <c r="C76" s="3" t="s">
        <v>626</v>
      </c>
      <c r="D76" s="3" t="s">
        <v>207</v>
      </c>
      <c r="E76" s="110">
        <v>42425</v>
      </c>
      <c r="F76" s="111">
        <f t="shared" si="20"/>
        <v>0</v>
      </c>
      <c r="G76" s="22">
        <f>$G$3</f>
        <v>3745000</v>
      </c>
      <c r="H76" s="28" t="s">
        <v>667</v>
      </c>
      <c r="I76" s="28">
        <v>1</v>
      </c>
      <c r="J76" s="277">
        <v>3745000</v>
      </c>
      <c r="K76" s="306">
        <f>VLOOKUP(H76,'thang luong moi'!B:I,'Bang luong (chaun)'!I76+1,0)</f>
        <v>4213125</v>
      </c>
      <c r="L76" s="315">
        <f t="shared" si="32"/>
        <v>0.1111111111111111</v>
      </c>
      <c r="M76" s="77" t="e">
        <f>VLOOKUP(C76,CC!$C$5:$AJ$67,34,0)</f>
        <v>#N/A</v>
      </c>
      <c r="N76" s="22" t="e">
        <f t="shared" si="48"/>
        <v>#N/A</v>
      </c>
      <c r="O76" s="22" t="e">
        <f>VLOOKUP(C76,CC!$C$5:$AM$67,36,0)</f>
        <v>#N/A</v>
      </c>
      <c r="P76" s="22" t="e">
        <f>VLOOKUP(C76,CC!$C$5:$BS$67,69,0)</f>
        <v>#N/A</v>
      </c>
      <c r="Q76" s="22" t="e">
        <f>VLOOKUP(C76,CC!$C$5:$BT$67,70,0)</f>
        <v>#N/A</v>
      </c>
      <c r="R76" s="22" t="e">
        <f>VLOOKUP(C76,CC!$C$5:$AM$67,37,0)</f>
        <v>#N/A</v>
      </c>
      <c r="S76" s="22" t="e">
        <f>VLOOKUP(C76,CC!$C$5:$AM$67,35,0)</f>
        <v>#N/A</v>
      </c>
      <c r="T76" s="22" t="e">
        <f t="shared" si="49"/>
        <v>#N/A</v>
      </c>
      <c r="U76" s="22" t="e">
        <f>VLOOKUP(C76,'Công tổng'!$C$53:$BY$67,66,0)-N76</f>
        <v>#N/A</v>
      </c>
      <c r="V76" s="22">
        <f t="shared" si="50"/>
        <v>0</v>
      </c>
      <c r="W76" s="22">
        <f ca="1">(100%-SUMIF('chuyên cần'!$C$6:$AP$31,'Bang luong (chaun)'!C76,'chuyên cần'!$AP$7:$AP$31))*$W$3</f>
        <v>300000</v>
      </c>
      <c r="X76" s="22"/>
      <c r="Y76" s="22"/>
      <c r="Z76" s="22"/>
      <c r="AA76" s="22"/>
      <c r="AB76" s="199">
        <v>0</v>
      </c>
      <c r="AC76" s="106" t="e">
        <f t="shared" ca="1" si="34"/>
        <v>#N/A</v>
      </c>
      <c r="AD76" s="203">
        <f t="shared" si="35"/>
        <v>3745000</v>
      </c>
      <c r="AE76" s="204">
        <f t="shared" si="36"/>
        <v>4213125</v>
      </c>
      <c r="AF76" s="204">
        <v>3932250</v>
      </c>
      <c r="AG76" s="106" t="e">
        <f>'ung luong'!#REF!</f>
        <v>#REF!</v>
      </c>
      <c r="AH76" s="106">
        <f t="shared" si="51"/>
        <v>0</v>
      </c>
      <c r="AI76" s="106" t="e">
        <f t="shared" ca="1" si="52"/>
        <v>#N/A</v>
      </c>
      <c r="AJ76" s="106" t="e">
        <f t="shared" ca="1" si="53"/>
        <v>#N/A</v>
      </c>
      <c r="AK76" s="231"/>
    </row>
    <row r="77" spans="1:37" ht="21" customHeight="1">
      <c r="A77" s="3">
        <f t="shared" si="38"/>
        <v>68</v>
      </c>
      <c r="B77" s="3" t="s">
        <v>627</v>
      </c>
      <c r="C77" s="3" t="s">
        <v>628</v>
      </c>
      <c r="D77" s="3" t="s">
        <v>207</v>
      </c>
      <c r="E77" s="110">
        <v>42426</v>
      </c>
      <c r="F77" s="111">
        <f t="shared" si="20"/>
        <v>0</v>
      </c>
      <c r="G77" s="22">
        <f>$G$3</f>
        <v>3745000</v>
      </c>
      <c r="H77" s="28" t="s">
        <v>667</v>
      </c>
      <c r="I77" s="28">
        <v>1</v>
      </c>
      <c r="J77" s="277">
        <v>3745000</v>
      </c>
      <c r="K77" s="306">
        <f>VLOOKUP(H77,'thang luong moi'!B:I,'Bang luong (chaun)'!I77+1,0)</f>
        <v>4213125</v>
      </c>
      <c r="L77" s="315">
        <f t="shared" si="32"/>
        <v>0.1111111111111111</v>
      </c>
      <c r="M77" s="77" t="e">
        <f>VLOOKUP(C77,CC!$C$5:$AJ$67,34,0)</f>
        <v>#N/A</v>
      </c>
      <c r="N77" s="22" t="e">
        <f t="shared" si="48"/>
        <v>#N/A</v>
      </c>
      <c r="O77" s="22" t="e">
        <f>VLOOKUP(C77,CC!$C$5:$AM$67,36,0)</f>
        <v>#N/A</v>
      </c>
      <c r="P77" s="22" t="e">
        <f>VLOOKUP(C77,CC!$C$5:$BS$67,69,0)</f>
        <v>#N/A</v>
      </c>
      <c r="Q77" s="22" t="e">
        <f>VLOOKUP(C77,CC!$C$5:$BT$67,70,0)</f>
        <v>#N/A</v>
      </c>
      <c r="R77" s="22" t="e">
        <f>VLOOKUP(C77,CC!$C$5:$AM$67,37,0)</f>
        <v>#N/A</v>
      </c>
      <c r="S77" s="22" t="e">
        <f>VLOOKUP(C77,CC!$C$5:$AM$67,35,0)</f>
        <v>#N/A</v>
      </c>
      <c r="T77" s="22" t="e">
        <f t="shared" si="49"/>
        <v>#N/A</v>
      </c>
      <c r="U77" s="22" t="e">
        <f>VLOOKUP(C77,'Công tổng'!$C$53:$BY$67,66,0)-N77</f>
        <v>#N/A</v>
      </c>
      <c r="V77" s="22">
        <f t="shared" si="50"/>
        <v>0</v>
      </c>
      <c r="W77" s="22">
        <f ca="1">(100%-SUMIF('chuyên cần'!$C$6:$AP$31,'Bang luong (chaun)'!C77,'chuyên cần'!$AP$7:$AP$31))*$W$3</f>
        <v>300000</v>
      </c>
      <c r="X77" s="22"/>
      <c r="Y77" s="22"/>
      <c r="Z77" s="22"/>
      <c r="AA77" s="22"/>
      <c r="AB77" s="199">
        <v>0</v>
      </c>
      <c r="AC77" s="106" t="e">
        <f t="shared" ca="1" si="34"/>
        <v>#N/A</v>
      </c>
      <c r="AD77" s="203">
        <f t="shared" si="35"/>
        <v>3745000</v>
      </c>
      <c r="AE77" s="204">
        <f t="shared" si="36"/>
        <v>4213125</v>
      </c>
      <c r="AF77" s="204">
        <v>3932250</v>
      </c>
      <c r="AG77" s="106" t="e">
        <f>'ung luong'!#REF!</f>
        <v>#REF!</v>
      </c>
      <c r="AH77" s="106">
        <f t="shared" si="51"/>
        <v>0</v>
      </c>
      <c r="AI77" s="106" t="e">
        <f t="shared" ca="1" si="52"/>
        <v>#N/A</v>
      </c>
      <c r="AJ77" s="106" t="e">
        <f t="shared" ca="1" si="53"/>
        <v>#N/A</v>
      </c>
      <c r="AK77" s="231"/>
    </row>
    <row r="78" spans="1:37" ht="21" customHeight="1">
      <c r="A78" s="3">
        <f t="shared" si="38"/>
        <v>69</v>
      </c>
      <c r="B78" s="3" t="s">
        <v>629</v>
      </c>
      <c r="C78" s="3" t="s">
        <v>631</v>
      </c>
      <c r="D78" s="3" t="s">
        <v>207</v>
      </c>
      <c r="E78" s="110">
        <v>42426</v>
      </c>
      <c r="F78" s="111">
        <f t="shared" si="20"/>
        <v>0</v>
      </c>
      <c r="G78" s="22">
        <f>$G$3</f>
        <v>3745000</v>
      </c>
      <c r="H78" s="28" t="s">
        <v>667</v>
      </c>
      <c r="I78" s="28">
        <v>1</v>
      </c>
      <c r="J78" s="277">
        <v>3745000</v>
      </c>
      <c r="K78" s="306">
        <f>VLOOKUP(H78,'thang luong moi'!B:I,'Bang luong (chaun)'!I78+1,0)</f>
        <v>4213125</v>
      </c>
      <c r="L78" s="315">
        <f t="shared" si="32"/>
        <v>0.1111111111111111</v>
      </c>
      <c r="M78" s="77" t="e">
        <f>VLOOKUP(C78,CC!$C$5:$AJ$67,34,0)</f>
        <v>#N/A</v>
      </c>
      <c r="N78" s="22" t="e">
        <f t="shared" si="48"/>
        <v>#N/A</v>
      </c>
      <c r="O78" s="22" t="e">
        <f>VLOOKUP(C78,CC!$C$5:$AM$67,36,0)</f>
        <v>#N/A</v>
      </c>
      <c r="P78" s="22" t="e">
        <f>VLOOKUP(C78,CC!$C$5:$BS$67,69,0)</f>
        <v>#N/A</v>
      </c>
      <c r="Q78" s="22" t="e">
        <f>VLOOKUP(C78,CC!$C$5:$BT$67,70,0)</f>
        <v>#N/A</v>
      </c>
      <c r="R78" s="22" t="e">
        <f>VLOOKUP(C78,CC!$C$5:$AM$67,37,0)</f>
        <v>#N/A</v>
      </c>
      <c r="S78" s="22" t="e">
        <f>VLOOKUP(C78,CC!$C$5:$AM$67,35,0)</f>
        <v>#N/A</v>
      </c>
      <c r="T78" s="22" t="e">
        <f t="shared" si="49"/>
        <v>#N/A</v>
      </c>
      <c r="U78" s="22" t="e">
        <f>VLOOKUP(C78,'Công tổng'!$C$53:$BY$67,66,0)-N78</f>
        <v>#N/A</v>
      </c>
      <c r="V78" s="22">
        <f t="shared" si="50"/>
        <v>0</v>
      </c>
      <c r="W78" s="22">
        <f ca="1">(100%-SUMIF('chuyên cần'!$C$6:$AP$31,'Bang luong (chaun)'!C78,'chuyên cần'!$AP$7:$AP$31))*$W$3</f>
        <v>300000</v>
      </c>
      <c r="X78" s="22"/>
      <c r="Y78" s="22"/>
      <c r="Z78" s="22"/>
      <c r="AA78" s="22"/>
      <c r="AB78" s="199">
        <v>0</v>
      </c>
      <c r="AC78" s="106" t="e">
        <f t="shared" ca="1" si="34"/>
        <v>#N/A</v>
      </c>
      <c r="AD78" s="203">
        <f t="shared" si="35"/>
        <v>3745000</v>
      </c>
      <c r="AE78" s="204">
        <f t="shared" si="36"/>
        <v>4213125</v>
      </c>
      <c r="AF78" s="204">
        <v>3932250</v>
      </c>
      <c r="AG78" s="106" t="e">
        <f>'ung luong'!#REF!</f>
        <v>#REF!</v>
      </c>
      <c r="AH78" s="106">
        <f t="shared" si="51"/>
        <v>0</v>
      </c>
      <c r="AI78" s="106" t="e">
        <f t="shared" ca="1" si="52"/>
        <v>#N/A</v>
      </c>
      <c r="AJ78" s="106" t="e">
        <f t="shared" ca="1" si="53"/>
        <v>#N/A</v>
      </c>
      <c r="AK78" s="231"/>
    </row>
    <row r="79" spans="1:37" ht="18" customHeight="1">
      <c r="A79" s="3">
        <f t="shared" si="38"/>
        <v>70</v>
      </c>
      <c r="B79" s="3" t="s">
        <v>630</v>
      </c>
      <c r="C79" s="3" t="s">
        <v>632</v>
      </c>
      <c r="D79" s="3" t="s">
        <v>207</v>
      </c>
      <c r="E79" s="110">
        <v>42429</v>
      </c>
      <c r="F79" s="111">
        <f t="shared" si="20"/>
        <v>0</v>
      </c>
      <c r="G79" s="22">
        <f>$G$3</f>
        <v>3745000</v>
      </c>
      <c r="H79" s="28" t="s">
        <v>667</v>
      </c>
      <c r="I79" s="28">
        <v>1</v>
      </c>
      <c r="J79" s="277">
        <v>3745000</v>
      </c>
      <c r="K79" s="306">
        <f>VLOOKUP(H79,'thang luong moi'!B:I,'Bang luong (chaun)'!I79+1,0)</f>
        <v>4213125</v>
      </c>
      <c r="L79" s="315">
        <f t="shared" si="32"/>
        <v>0.1111111111111111</v>
      </c>
      <c r="M79" s="77" t="e">
        <f>VLOOKUP(C79,CC!$C$5:$AJ$67,34,0)</f>
        <v>#N/A</v>
      </c>
      <c r="N79" s="22" t="e">
        <f t="shared" si="48"/>
        <v>#N/A</v>
      </c>
      <c r="O79" s="22" t="e">
        <f>VLOOKUP(C79,CC!$C$5:$AM$67,36,0)</f>
        <v>#N/A</v>
      </c>
      <c r="P79" s="22" t="e">
        <f>VLOOKUP(C79,CC!$C$5:$BS$67,69,0)</f>
        <v>#N/A</v>
      </c>
      <c r="Q79" s="22" t="e">
        <f>VLOOKUP(C79,CC!$C$5:$BT$67,70,0)</f>
        <v>#N/A</v>
      </c>
      <c r="R79" s="22" t="e">
        <f>VLOOKUP(C79,CC!$C$5:$AM$67,37,0)</f>
        <v>#N/A</v>
      </c>
      <c r="S79" s="22" t="e">
        <f>VLOOKUP(C79,CC!$C$5:$AM$67,35,0)</f>
        <v>#N/A</v>
      </c>
      <c r="T79" s="22" t="e">
        <f t="shared" si="49"/>
        <v>#N/A</v>
      </c>
      <c r="U79" s="22" t="e">
        <f>VLOOKUP(C79,'Công tổng'!$C$53:$BY$67,66,0)-N79</f>
        <v>#N/A</v>
      </c>
      <c r="V79" s="22">
        <f t="shared" si="50"/>
        <v>0</v>
      </c>
      <c r="W79" s="22">
        <f ca="1">(100%-SUMIF('chuyên cần'!$C$6:$AP$31,'Bang luong (chaun)'!C79,'chuyên cần'!$AP$7:$AP$31))*$W$3</f>
        <v>300000</v>
      </c>
      <c r="X79" s="22"/>
      <c r="Y79" s="22"/>
      <c r="Z79" s="22"/>
      <c r="AA79" s="22"/>
      <c r="AB79" s="199">
        <v>0</v>
      </c>
      <c r="AC79" s="106" t="e">
        <f t="shared" ca="1" si="34"/>
        <v>#N/A</v>
      </c>
      <c r="AD79" s="203">
        <f t="shared" si="35"/>
        <v>3745000</v>
      </c>
      <c r="AE79" s="204">
        <f>K79+AB79</f>
        <v>4213125</v>
      </c>
      <c r="AF79" s="204">
        <v>3932250</v>
      </c>
      <c r="AG79" s="106" t="e">
        <f>'ung luong'!#REF!</f>
        <v>#REF!</v>
      </c>
      <c r="AH79" s="106">
        <f t="shared" si="51"/>
        <v>0</v>
      </c>
      <c r="AI79" s="106" t="e">
        <f t="shared" ca="1" si="52"/>
        <v>#N/A</v>
      </c>
      <c r="AJ79" s="106" t="e">
        <f t="shared" ca="1" si="53"/>
        <v>#N/A</v>
      </c>
      <c r="AK79" s="231"/>
    </row>
    <row r="80" spans="1:37" ht="15" hidden="1">
      <c r="A80" s="233"/>
      <c r="B80" s="233"/>
      <c r="C80" s="233" t="s">
        <v>543</v>
      </c>
      <c r="D80" s="233"/>
      <c r="E80" s="234"/>
      <c r="F80" s="235"/>
      <c r="G80" s="106"/>
      <c r="H80" s="236"/>
      <c r="I80" s="236"/>
      <c r="J80" s="276"/>
      <c r="K80" s="106"/>
      <c r="L80" s="106"/>
      <c r="M80" s="237"/>
      <c r="N80" s="106"/>
      <c r="O80" s="106"/>
      <c r="P80" s="106"/>
      <c r="Q80" s="106"/>
      <c r="R80" s="106"/>
      <c r="S80" s="106"/>
      <c r="T80" s="106"/>
      <c r="U80" s="106"/>
      <c r="V80" s="177"/>
      <c r="W80" s="106"/>
      <c r="X80" s="106"/>
      <c r="Y80" s="22"/>
      <c r="Z80" s="106">
        <v>0</v>
      </c>
      <c r="AA80" s="106"/>
      <c r="AB80" s="203"/>
      <c r="AC80" s="106" t="e">
        <f ca="1">AC41+AC24+AC15+AC12+AC5</f>
        <v>#N/A</v>
      </c>
      <c r="AD80" s="203"/>
      <c r="AE80" s="203"/>
      <c r="AF80" s="203"/>
      <c r="AG80" s="106" t="e">
        <f>AG41+AG24+AG15+AG12+AG5</f>
        <v>#REF!</v>
      </c>
      <c r="AH80" s="106">
        <f>AH41+AH24+AH15+AH12+AH5</f>
        <v>6444195</v>
      </c>
      <c r="AI80" s="106" t="e">
        <f ca="1">AI41+AI24+AI15+AI12+AI5</f>
        <v>#N/A</v>
      </c>
      <c r="AJ80" s="106" t="e">
        <f ca="1">AJ41+AJ24+AJ15+AJ12+AJ5</f>
        <v>#N/A</v>
      </c>
      <c r="AK80" s="231"/>
    </row>
    <row r="81" spans="1:39" ht="15" hidden="1">
      <c r="A81" s="241"/>
      <c r="B81" s="241"/>
      <c r="C81" s="241"/>
      <c r="D81" s="241"/>
      <c r="E81" s="242"/>
      <c r="F81" s="243"/>
      <c r="G81" s="244"/>
      <c r="H81" s="245"/>
      <c r="I81" s="245"/>
      <c r="J81" s="307">
        <f>SUBTOTAL(9,J5:J80)</f>
        <v>300723500</v>
      </c>
      <c r="K81" s="307">
        <f>SUBTOTAL(9,K5:K80)</f>
        <v>346920750</v>
      </c>
      <c r="L81" s="316"/>
      <c r="M81" s="246"/>
      <c r="N81" s="244"/>
      <c r="O81" s="244"/>
      <c r="P81" s="244"/>
      <c r="Q81" s="244"/>
      <c r="R81" s="244"/>
      <c r="S81" s="244"/>
      <c r="T81" s="244"/>
      <c r="U81" s="244"/>
      <c r="V81" s="247"/>
      <c r="W81" s="244"/>
      <c r="X81" s="244"/>
      <c r="Y81" s="117"/>
      <c r="Z81" s="244"/>
      <c r="AA81" s="244"/>
      <c r="AB81" s="272"/>
      <c r="AC81" s="244"/>
      <c r="AD81" s="272"/>
      <c r="AE81" s="307"/>
      <c r="AF81" s="307"/>
      <c r="AG81" s="244"/>
      <c r="AH81" s="244"/>
      <c r="AI81" s="244"/>
      <c r="AJ81" s="244"/>
      <c r="AK81" s="248"/>
    </row>
    <row r="82" spans="1:39" s="10" customFormat="1" ht="15" hidden="1" customHeight="1">
      <c r="B82" s="268"/>
      <c r="C82" s="268"/>
      <c r="H82" s="269"/>
      <c r="I82" s="269"/>
      <c r="J82" s="278"/>
      <c r="K82" s="318">
        <f>K81-J81</f>
        <v>46197250</v>
      </c>
      <c r="L82" s="317"/>
      <c r="M82" s="268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 t="s">
        <v>539</v>
      </c>
      <c r="AB82" s="273"/>
      <c r="AC82" s="268"/>
      <c r="AD82" s="278"/>
      <c r="AE82" s="310"/>
      <c r="AF82" s="310"/>
      <c r="AG82" s="268"/>
      <c r="AH82" s="230"/>
      <c r="AI82" s="230"/>
      <c r="AJ82" s="230"/>
      <c r="AL82" s="230"/>
      <c r="AM82" s="230"/>
    </row>
    <row r="83" spans="1:39" hidden="1">
      <c r="C83" s="220"/>
      <c r="K83" s="304">
        <f>K82/70</f>
        <v>659960.71428571432</v>
      </c>
    </row>
    <row r="84" spans="1:39" ht="24.75" customHeight="1">
      <c r="C84" s="220"/>
    </row>
    <row r="85" spans="1:39">
      <c r="C85" s="220"/>
    </row>
    <row r="86" spans="1:39">
      <c r="C86" s="220"/>
    </row>
    <row r="87" spans="1:39">
      <c r="C87" s="220"/>
    </row>
    <row r="88" spans="1:39">
      <c r="C88" s="220"/>
    </row>
    <row r="89" spans="1:39" s="10" customFormat="1" ht="15" customHeight="1">
      <c r="B89" s="268" t="s">
        <v>542</v>
      </c>
      <c r="C89" s="268"/>
      <c r="H89" s="269"/>
      <c r="J89" s="273" t="s">
        <v>562</v>
      </c>
      <c r="K89" s="311" t="s">
        <v>562</v>
      </c>
      <c r="L89" s="317"/>
      <c r="M89" s="269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 t="s">
        <v>63</v>
      </c>
      <c r="AB89" s="273"/>
      <c r="AC89" s="268" t="s">
        <v>63</v>
      </c>
      <c r="AD89" s="278"/>
      <c r="AE89" s="310"/>
      <c r="AF89" s="310"/>
      <c r="AG89" s="268"/>
      <c r="AH89" s="230"/>
      <c r="AI89" s="230"/>
      <c r="AJ89" s="230"/>
      <c r="AL89" s="230"/>
      <c r="AM89" s="230"/>
    </row>
    <row r="91" spans="1:39">
      <c r="H91" s="218"/>
      <c r="I91" s="218"/>
      <c r="J91" s="270"/>
      <c r="K91" s="30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74"/>
      <c r="AC91" s="218"/>
      <c r="AD91" s="274"/>
      <c r="AE91" s="308"/>
      <c r="AF91" s="308"/>
      <c r="AG91" s="218"/>
      <c r="AH91" s="218"/>
      <c r="AI91" s="218"/>
      <c r="AJ91" s="218"/>
      <c r="AL91" s="218"/>
      <c r="AM91" s="218"/>
    </row>
  </sheetData>
  <autoFilter ref="A4:AT83">
    <filterColumn colId="31">
      <customFilters>
        <customFilter operator="notEqual" val=" "/>
      </customFilters>
    </filterColumn>
  </autoFilter>
  <printOptions horizontalCentered="1"/>
  <pageMargins left="0.196850393700787" right="0.196850393700787" top="0.196850393700787" bottom="0.196850393700787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K139"/>
  <sheetViews>
    <sheetView zoomScaleNormal="100" workbookViewId="0">
      <pane ySplit="2" topLeftCell="A69" activePane="bottomLeft" state="frozen"/>
      <selection pane="bottomLeft" activeCell="F113" sqref="F113"/>
    </sheetView>
  </sheetViews>
  <sheetFormatPr defaultRowHeight="14.4"/>
  <cols>
    <col min="1" max="1" width="5.109375" style="878" customWidth="1"/>
    <col min="2" max="2" width="8" customWidth="1"/>
    <col min="3" max="3" width="21.5546875" customWidth="1"/>
    <col min="4" max="4" width="23.44140625" style="875" customWidth="1"/>
    <col min="5" max="5" width="17.109375" style="646" customWidth="1"/>
    <col min="6" max="6" width="18.88671875" customWidth="1"/>
    <col min="7" max="7" width="17.33203125" customWidth="1"/>
    <col min="8" max="8" width="19.44140625" customWidth="1"/>
    <col min="9" max="9" width="18.109375" customWidth="1"/>
    <col min="10" max="10" width="15.33203125" bestFit="1" customWidth="1"/>
  </cols>
  <sheetData>
    <row r="1" spans="1:7" ht="36" customHeight="1">
      <c r="A1" s="982" t="s">
        <v>903</v>
      </c>
      <c r="B1" s="982"/>
      <c r="C1" s="982"/>
      <c r="D1" s="982"/>
      <c r="E1" s="982"/>
      <c r="F1" s="982"/>
      <c r="G1" s="982"/>
    </row>
    <row r="2" spans="1:7" ht="46.8">
      <c r="A2" s="752" t="s">
        <v>0</v>
      </c>
      <c r="B2" s="752" t="s">
        <v>1</v>
      </c>
      <c r="C2" s="752" t="s">
        <v>2</v>
      </c>
      <c r="D2" s="752" t="s">
        <v>3</v>
      </c>
      <c r="E2" s="757" t="s">
        <v>793</v>
      </c>
      <c r="F2" s="752" t="s">
        <v>724</v>
      </c>
      <c r="G2" s="752" t="s">
        <v>553</v>
      </c>
    </row>
    <row r="3" spans="1:7" ht="15.6">
      <c r="A3" s="752">
        <v>1</v>
      </c>
      <c r="B3" s="752"/>
      <c r="C3" s="752" t="s">
        <v>29</v>
      </c>
      <c r="D3" s="752" t="s">
        <v>908</v>
      </c>
      <c r="E3" s="757">
        <v>20000000</v>
      </c>
      <c r="F3" s="762">
        <f>E3</f>
        <v>20000000</v>
      </c>
      <c r="G3" s="752"/>
    </row>
    <row r="4" spans="1:7" ht="15.6">
      <c r="A4" s="872"/>
      <c r="B4" s="872"/>
      <c r="C4" s="872" t="s">
        <v>909</v>
      </c>
      <c r="D4" s="872"/>
      <c r="E4" s="925"/>
      <c r="F4" s="926"/>
      <c r="G4" s="872"/>
    </row>
    <row r="5" spans="1:7" ht="23.25" customHeight="1">
      <c r="A5" s="752">
        <v>2</v>
      </c>
      <c r="B5" s="752"/>
      <c r="C5" s="873" t="s">
        <v>840</v>
      </c>
      <c r="D5" s="752" t="s">
        <v>843</v>
      </c>
      <c r="E5" s="757">
        <v>2000000</v>
      </c>
      <c r="F5" s="762">
        <f>+E5</f>
        <v>2000000</v>
      </c>
      <c r="G5" s="752"/>
    </row>
    <row r="6" spans="1:7" ht="23.25" customHeight="1">
      <c r="A6" s="752">
        <v>3</v>
      </c>
      <c r="B6" s="752"/>
      <c r="C6" s="873" t="s">
        <v>31</v>
      </c>
      <c r="D6" s="752" t="s">
        <v>910</v>
      </c>
      <c r="E6" s="757">
        <v>5000000</v>
      </c>
      <c r="F6" s="762">
        <f>+E6</f>
        <v>5000000</v>
      </c>
      <c r="G6" s="752"/>
    </row>
    <row r="7" spans="1:7" ht="15.6">
      <c r="A7" s="753"/>
      <c r="B7" s="753"/>
      <c r="C7" s="872" t="s">
        <v>848</v>
      </c>
      <c r="D7" s="753"/>
      <c r="E7" s="758"/>
      <c r="F7" s="753"/>
      <c r="G7" s="753"/>
    </row>
    <row r="8" spans="1:7" ht="15.6">
      <c r="A8" s="752">
        <v>2</v>
      </c>
      <c r="B8" s="752"/>
      <c r="C8" s="752" t="s">
        <v>879</v>
      </c>
      <c r="D8" s="752" t="s">
        <v>905</v>
      </c>
      <c r="E8" s="757">
        <v>10000000</v>
      </c>
      <c r="F8" s="762">
        <f>+E8</f>
        <v>10000000</v>
      </c>
      <c r="G8" s="752"/>
    </row>
    <row r="9" spans="1:7" ht="31.2">
      <c r="A9" s="752">
        <v>3</v>
      </c>
      <c r="B9" s="752"/>
      <c r="C9" s="752" t="s">
        <v>880</v>
      </c>
      <c r="D9" s="752" t="s">
        <v>884</v>
      </c>
      <c r="E9" s="757">
        <v>5000000</v>
      </c>
      <c r="F9" s="762">
        <f t="shared" ref="F9:F13" si="0">+E9</f>
        <v>5000000</v>
      </c>
      <c r="G9" s="752"/>
    </row>
    <row r="10" spans="1:7" ht="31.2">
      <c r="A10" s="752">
        <v>4</v>
      </c>
      <c r="B10" s="752"/>
      <c r="C10" s="752" t="s">
        <v>904</v>
      </c>
      <c r="D10" s="752" t="s">
        <v>883</v>
      </c>
      <c r="E10" s="757">
        <v>5000000</v>
      </c>
      <c r="F10" s="762">
        <f t="shared" si="0"/>
        <v>5000000</v>
      </c>
      <c r="G10" s="752"/>
    </row>
    <row r="11" spans="1:7" ht="15.6">
      <c r="A11" s="752">
        <v>5</v>
      </c>
      <c r="B11" s="752"/>
      <c r="C11" s="752" t="s">
        <v>881</v>
      </c>
      <c r="D11" s="752" t="s">
        <v>885</v>
      </c>
      <c r="E11" s="757">
        <v>5000000</v>
      </c>
      <c r="F11" s="762">
        <f t="shared" si="0"/>
        <v>5000000</v>
      </c>
      <c r="G11" s="752"/>
    </row>
    <row r="12" spans="1:7" ht="15.6">
      <c r="A12" s="752">
        <v>6</v>
      </c>
      <c r="B12" s="752"/>
      <c r="C12" s="752" t="s">
        <v>882</v>
      </c>
      <c r="D12" s="752" t="s">
        <v>886</v>
      </c>
      <c r="E12" s="757">
        <v>4000000</v>
      </c>
      <c r="F12" s="762">
        <f t="shared" si="0"/>
        <v>4000000</v>
      </c>
      <c r="G12" s="752"/>
    </row>
    <row r="13" spans="1:7" ht="15.6">
      <c r="A13" s="752">
        <v>7</v>
      </c>
      <c r="B13" s="752"/>
      <c r="C13" s="752" t="s">
        <v>894</v>
      </c>
      <c r="D13" s="752" t="s">
        <v>887</v>
      </c>
      <c r="E13" s="757">
        <v>0</v>
      </c>
      <c r="F13" s="762">
        <f t="shared" si="0"/>
        <v>0</v>
      </c>
      <c r="G13" s="752"/>
    </row>
    <row r="14" spans="1:7" ht="31.2">
      <c r="A14" s="753"/>
      <c r="B14" s="753"/>
      <c r="C14" s="872" t="s">
        <v>866</v>
      </c>
      <c r="D14" s="753"/>
      <c r="E14" s="758"/>
      <c r="F14" s="753"/>
      <c r="G14" s="753"/>
    </row>
    <row r="15" spans="1:7" ht="31.2">
      <c r="A15" s="752">
        <v>1</v>
      </c>
      <c r="B15" s="752"/>
      <c r="C15" s="873" t="s">
        <v>863</v>
      </c>
      <c r="D15" s="752" t="s">
        <v>865</v>
      </c>
      <c r="E15" s="757">
        <v>15000000</v>
      </c>
      <c r="F15" s="762">
        <f>E15</f>
        <v>15000000</v>
      </c>
      <c r="G15" s="752"/>
    </row>
    <row r="16" spans="1:7" ht="15.6">
      <c r="A16" s="753"/>
      <c r="B16" s="753"/>
      <c r="C16" s="872" t="s">
        <v>867</v>
      </c>
      <c r="D16" s="753"/>
      <c r="E16" s="758"/>
      <c r="F16" s="753"/>
      <c r="G16" s="753"/>
    </row>
    <row r="17" spans="1:7" s="64" customFormat="1" ht="15.6">
      <c r="A17" s="752"/>
      <c r="B17" s="752"/>
      <c r="C17" s="873" t="s">
        <v>896</v>
      </c>
      <c r="D17" s="752" t="s">
        <v>897</v>
      </c>
      <c r="E17" s="757">
        <v>0</v>
      </c>
      <c r="F17" s="762">
        <f>E17</f>
        <v>0</v>
      </c>
      <c r="G17" s="752"/>
    </row>
    <row r="18" spans="1:7" ht="24.75" customHeight="1">
      <c r="A18" s="752">
        <v>2</v>
      </c>
      <c r="B18" s="752"/>
      <c r="C18" s="873" t="s">
        <v>751</v>
      </c>
      <c r="D18" s="752" t="s">
        <v>864</v>
      </c>
      <c r="E18" s="757">
        <v>4000000</v>
      </c>
      <c r="F18" s="762">
        <f>E18</f>
        <v>4000000</v>
      </c>
      <c r="G18" s="752"/>
    </row>
    <row r="19" spans="1:7" ht="24.75" customHeight="1">
      <c r="A19" s="752">
        <v>3</v>
      </c>
      <c r="B19" s="752"/>
      <c r="C19" s="873" t="s">
        <v>861</v>
      </c>
      <c r="D19" s="752" t="s">
        <v>864</v>
      </c>
      <c r="E19" s="757">
        <v>3000000</v>
      </c>
      <c r="F19" s="762">
        <f t="shared" ref="F19:F20" si="1">E19</f>
        <v>3000000</v>
      </c>
      <c r="G19" s="752"/>
    </row>
    <row r="20" spans="1:7" ht="24.75" customHeight="1">
      <c r="A20" s="752">
        <v>4</v>
      </c>
      <c r="B20" s="752"/>
      <c r="C20" s="873" t="s">
        <v>862</v>
      </c>
      <c r="D20" s="752" t="s">
        <v>864</v>
      </c>
      <c r="E20" s="757">
        <v>0</v>
      </c>
      <c r="F20" s="762">
        <f t="shared" si="1"/>
        <v>0</v>
      </c>
      <c r="G20" s="752"/>
    </row>
    <row r="21" spans="1:7" ht="15.6">
      <c r="A21" s="753"/>
      <c r="B21" s="753"/>
      <c r="C21" s="872" t="s">
        <v>361</v>
      </c>
      <c r="D21" s="753"/>
      <c r="E21" s="758"/>
      <c r="F21" s="753"/>
      <c r="G21" s="753"/>
    </row>
    <row r="22" spans="1:7" ht="23.25" customHeight="1">
      <c r="A22" s="752">
        <v>5</v>
      </c>
      <c r="B22" s="752"/>
      <c r="C22" s="873" t="s">
        <v>758</v>
      </c>
      <c r="D22" s="752" t="s">
        <v>854</v>
      </c>
      <c r="E22" s="757">
        <v>3000000</v>
      </c>
      <c r="F22" s="762">
        <f>E22</f>
        <v>3000000</v>
      </c>
      <c r="G22" s="752"/>
    </row>
    <row r="23" spans="1:7" ht="23.25" customHeight="1">
      <c r="A23" s="752">
        <v>6</v>
      </c>
      <c r="B23" s="752"/>
      <c r="C23" s="873" t="s">
        <v>850</v>
      </c>
      <c r="D23" s="752" t="s">
        <v>855</v>
      </c>
      <c r="E23" s="757">
        <v>3000000</v>
      </c>
      <c r="F23" s="762">
        <f t="shared" ref="F23:F33" si="2">E23</f>
        <v>3000000</v>
      </c>
      <c r="G23" s="752"/>
    </row>
    <row r="24" spans="1:7" ht="23.25" customHeight="1">
      <c r="A24" s="752">
        <v>7</v>
      </c>
      <c r="B24" s="752"/>
      <c r="C24" s="873" t="s">
        <v>851</v>
      </c>
      <c r="D24" s="752" t="s">
        <v>856</v>
      </c>
      <c r="E24" s="757">
        <v>3000000</v>
      </c>
      <c r="F24" s="762">
        <f t="shared" si="2"/>
        <v>3000000</v>
      </c>
      <c r="G24" s="752"/>
    </row>
    <row r="25" spans="1:7" ht="23.25" customHeight="1">
      <c r="A25" s="752">
        <v>8</v>
      </c>
      <c r="B25" s="752"/>
      <c r="C25" s="873" t="s">
        <v>852</v>
      </c>
      <c r="D25" s="752" t="s">
        <v>857</v>
      </c>
      <c r="E25" s="757">
        <v>4000000</v>
      </c>
      <c r="F25" s="762">
        <f t="shared" si="2"/>
        <v>4000000</v>
      </c>
      <c r="G25" s="752"/>
    </row>
    <row r="26" spans="1:7" ht="23.25" customHeight="1">
      <c r="A26" s="752">
        <v>9</v>
      </c>
      <c r="B26" s="752"/>
      <c r="C26" s="873" t="s">
        <v>759</v>
      </c>
      <c r="D26" s="752" t="s">
        <v>858</v>
      </c>
      <c r="E26" s="757">
        <v>0</v>
      </c>
      <c r="F26" s="762">
        <f t="shared" si="2"/>
        <v>0</v>
      </c>
      <c r="G26" s="752"/>
    </row>
    <row r="27" spans="1:7" ht="23.25" customHeight="1">
      <c r="A27" s="752">
        <v>10</v>
      </c>
      <c r="B27" s="752"/>
      <c r="C27" s="873" t="s">
        <v>853</v>
      </c>
      <c r="D27" s="752" t="s">
        <v>859</v>
      </c>
      <c r="E27" s="757">
        <v>4000000</v>
      </c>
      <c r="F27" s="762">
        <f t="shared" si="2"/>
        <v>4000000</v>
      </c>
      <c r="G27" s="752"/>
    </row>
    <row r="28" spans="1:7" ht="23.25" customHeight="1">
      <c r="A28" s="752">
        <v>11</v>
      </c>
      <c r="B28" s="752"/>
      <c r="C28" s="873" t="s">
        <v>59</v>
      </c>
      <c r="D28" s="752" t="s">
        <v>860</v>
      </c>
      <c r="E28" s="757">
        <v>3000000</v>
      </c>
      <c r="F28" s="762">
        <f t="shared" si="2"/>
        <v>3000000</v>
      </c>
      <c r="G28" s="752"/>
    </row>
    <row r="29" spans="1:7" ht="23.25" customHeight="1">
      <c r="A29" s="752">
        <v>12</v>
      </c>
      <c r="B29" s="752"/>
      <c r="C29" s="873" t="s">
        <v>725</v>
      </c>
      <c r="D29" s="752" t="s">
        <v>860</v>
      </c>
      <c r="E29" s="757">
        <v>3000000</v>
      </c>
      <c r="F29" s="762">
        <f t="shared" si="2"/>
        <v>3000000</v>
      </c>
      <c r="G29" s="752"/>
    </row>
    <row r="30" spans="1:7" ht="23.25" customHeight="1">
      <c r="A30" s="752">
        <v>13</v>
      </c>
      <c r="B30" s="752"/>
      <c r="C30" s="873" t="s">
        <v>895</v>
      </c>
      <c r="D30" s="752" t="s">
        <v>860</v>
      </c>
      <c r="E30" s="757">
        <v>2000000</v>
      </c>
      <c r="F30" s="762">
        <f t="shared" si="2"/>
        <v>2000000</v>
      </c>
      <c r="G30" s="752"/>
    </row>
    <row r="31" spans="1:7" ht="23.25" customHeight="1">
      <c r="A31" s="752">
        <v>14</v>
      </c>
      <c r="B31" s="752"/>
      <c r="C31" s="873" t="s">
        <v>63</v>
      </c>
      <c r="D31" s="752" t="s">
        <v>871</v>
      </c>
      <c r="E31" s="757">
        <v>0</v>
      </c>
      <c r="F31" s="762">
        <f t="shared" si="2"/>
        <v>0</v>
      </c>
      <c r="G31" s="752"/>
    </row>
    <row r="32" spans="1:7" ht="23.25" customHeight="1">
      <c r="A32" s="752">
        <v>15</v>
      </c>
      <c r="B32" s="752"/>
      <c r="C32" s="873" t="s">
        <v>756</v>
      </c>
      <c r="D32" s="752" t="s">
        <v>855</v>
      </c>
      <c r="E32" s="757">
        <v>2000000</v>
      </c>
      <c r="F32" s="762">
        <f t="shared" si="2"/>
        <v>2000000</v>
      </c>
      <c r="G32" s="752"/>
    </row>
    <row r="33" spans="1:10" ht="23.25" customHeight="1">
      <c r="A33" s="752">
        <v>16</v>
      </c>
      <c r="B33" s="752"/>
      <c r="C33" s="873" t="s">
        <v>906</v>
      </c>
      <c r="D33" s="752" t="s">
        <v>907</v>
      </c>
      <c r="E33" s="757">
        <v>3000000</v>
      </c>
      <c r="F33" s="762">
        <f t="shared" si="2"/>
        <v>3000000</v>
      </c>
      <c r="G33" s="752"/>
    </row>
    <row r="34" spans="1:10" ht="15.6">
      <c r="A34" s="870"/>
      <c r="B34" s="870"/>
      <c r="C34" s="872" t="s">
        <v>849</v>
      </c>
      <c r="D34" s="870"/>
      <c r="E34" s="871"/>
      <c r="F34" s="870"/>
      <c r="G34" s="870"/>
    </row>
    <row r="35" spans="1:10" ht="23.25" customHeight="1">
      <c r="A35" s="752">
        <v>17</v>
      </c>
      <c r="B35" s="752"/>
      <c r="C35" s="873" t="s">
        <v>841</v>
      </c>
      <c r="D35" s="752" t="s">
        <v>844</v>
      </c>
      <c r="E35" s="757">
        <v>5000000</v>
      </c>
      <c r="F35" s="762">
        <f t="shared" ref="F35:F39" si="3">+E35</f>
        <v>5000000</v>
      </c>
      <c r="G35" s="752"/>
    </row>
    <row r="36" spans="1:10" ht="23.25" customHeight="1">
      <c r="A36" s="752">
        <v>18</v>
      </c>
      <c r="B36" s="752"/>
      <c r="C36" s="873" t="s">
        <v>37</v>
      </c>
      <c r="D36" s="752" t="s">
        <v>845</v>
      </c>
      <c r="E36" s="757">
        <v>10000000</v>
      </c>
      <c r="F36" s="762">
        <f t="shared" si="3"/>
        <v>10000000</v>
      </c>
      <c r="G36" s="752"/>
    </row>
    <row r="37" spans="1:10" ht="23.25" customHeight="1">
      <c r="A37" s="752">
        <v>19</v>
      </c>
      <c r="B37" s="752"/>
      <c r="C37" s="873" t="s">
        <v>842</v>
      </c>
      <c r="D37" s="752" t="s">
        <v>846</v>
      </c>
      <c r="E37" s="757">
        <v>3000000</v>
      </c>
      <c r="F37" s="762">
        <f t="shared" si="3"/>
        <v>3000000</v>
      </c>
      <c r="G37" s="752"/>
    </row>
    <row r="38" spans="1:10" ht="23.25" customHeight="1">
      <c r="A38" s="752">
        <v>20</v>
      </c>
      <c r="B38" s="752"/>
      <c r="C38" s="873" t="s">
        <v>601</v>
      </c>
      <c r="D38" s="752" t="s">
        <v>846</v>
      </c>
      <c r="E38" s="757">
        <v>0</v>
      </c>
      <c r="F38" s="762">
        <f t="shared" si="3"/>
        <v>0</v>
      </c>
      <c r="G38" s="752"/>
    </row>
    <row r="39" spans="1:10" ht="23.25" customHeight="1">
      <c r="A39" s="752">
        <v>21</v>
      </c>
      <c r="B39" s="752"/>
      <c r="C39" s="873" t="s">
        <v>702</v>
      </c>
      <c r="D39" s="752" t="s">
        <v>847</v>
      </c>
      <c r="E39" s="757">
        <v>4000000</v>
      </c>
      <c r="F39" s="762">
        <f t="shared" si="3"/>
        <v>4000000</v>
      </c>
      <c r="G39" s="752"/>
    </row>
    <row r="40" spans="1:10" ht="15.6">
      <c r="A40" s="753"/>
      <c r="B40" s="750"/>
      <c r="C40" s="750" t="s">
        <v>803</v>
      </c>
      <c r="D40" s="753"/>
      <c r="E40" s="758"/>
      <c r="F40" s="753"/>
      <c r="G40" s="753"/>
    </row>
    <row r="41" spans="1:10" ht="23.25" customHeight="1">
      <c r="A41" s="752">
        <v>20</v>
      </c>
      <c r="B41" s="747"/>
      <c r="C41" s="747" t="s">
        <v>804</v>
      </c>
      <c r="D41" s="752" t="s">
        <v>805</v>
      </c>
      <c r="E41" s="757">
        <v>0</v>
      </c>
      <c r="F41" s="757">
        <v>0</v>
      </c>
      <c r="G41" s="752"/>
    </row>
    <row r="42" spans="1:10" ht="15.6">
      <c r="A42" s="753"/>
      <c r="B42" s="750"/>
      <c r="C42" s="750" t="s">
        <v>807</v>
      </c>
      <c r="D42" s="753"/>
      <c r="E42" s="758"/>
      <c r="F42" s="803"/>
      <c r="G42" s="753"/>
    </row>
    <row r="43" spans="1:10" s="64" customFormat="1" ht="15.6">
      <c r="A43" s="820"/>
      <c r="B43" s="821"/>
      <c r="C43" s="821" t="s">
        <v>794</v>
      </c>
      <c r="D43" s="820"/>
      <c r="E43" s="822"/>
      <c r="F43" s="822"/>
      <c r="G43" s="820"/>
    </row>
    <row r="44" spans="1:10" ht="24.75" customHeight="1">
      <c r="A44" s="752">
        <v>21</v>
      </c>
      <c r="B44" s="747"/>
      <c r="C44" s="747" t="s">
        <v>72</v>
      </c>
      <c r="D44" s="756" t="s">
        <v>795</v>
      </c>
      <c r="E44" s="757">
        <v>3000000</v>
      </c>
      <c r="F44" s="762">
        <f>E44</f>
        <v>3000000</v>
      </c>
      <c r="G44" s="752"/>
    </row>
    <row r="45" spans="1:10" ht="24.75" customHeight="1">
      <c r="A45" s="752">
        <v>22</v>
      </c>
      <c r="B45" s="747"/>
      <c r="C45" s="747" t="s">
        <v>81</v>
      </c>
      <c r="D45" s="756" t="s">
        <v>796</v>
      </c>
      <c r="E45" s="757">
        <v>3000000</v>
      </c>
      <c r="F45" s="762">
        <f t="shared" ref="F45:F48" si="4">E45</f>
        <v>3000000</v>
      </c>
      <c r="G45" s="752"/>
    </row>
    <row r="46" spans="1:10" ht="24.75" customHeight="1">
      <c r="A46" s="752">
        <v>23</v>
      </c>
      <c r="B46" s="747"/>
      <c r="C46" s="747" t="s">
        <v>240</v>
      </c>
      <c r="D46" s="756" t="s">
        <v>797</v>
      </c>
      <c r="E46" s="757">
        <v>4000000</v>
      </c>
      <c r="F46" s="762">
        <f t="shared" si="4"/>
        <v>4000000</v>
      </c>
      <c r="G46" s="752"/>
      <c r="J46" s="64"/>
    </row>
    <row r="47" spans="1:10" ht="24.75" customHeight="1">
      <c r="A47" s="752">
        <v>24</v>
      </c>
      <c r="B47" s="747"/>
      <c r="C47" s="747" t="s">
        <v>67</v>
      </c>
      <c r="D47" s="756" t="s">
        <v>797</v>
      </c>
      <c r="E47" s="757">
        <v>4000000</v>
      </c>
      <c r="F47" s="762">
        <f t="shared" si="4"/>
        <v>4000000</v>
      </c>
      <c r="G47" s="752"/>
      <c r="J47" s="64"/>
    </row>
    <row r="48" spans="1:10" ht="24.75" customHeight="1">
      <c r="A48" s="752">
        <v>25</v>
      </c>
      <c r="B48" s="747"/>
      <c r="C48" s="747" t="s">
        <v>811</v>
      </c>
      <c r="D48" s="756" t="s">
        <v>812</v>
      </c>
      <c r="E48" s="757">
        <v>4000000</v>
      </c>
      <c r="F48" s="762">
        <f t="shared" si="4"/>
        <v>4000000</v>
      </c>
      <c r="G48" s="752"/>
      <c r="J48" s="64"/>
    </row>
    <row r="49" spans="1:10" ht="23.25" customHeight="1">
      <c r="A49" s="752">
        <v>26</v>
      </c>
      <c r="B49" s="747"/>
      <c r="C49" s="747" t="s">
        <v>616</v>
      </c>
      <c r="D49" s="752" t="s">
        <v>799</v>
      </c>
      <c r="E49" s="757">
        <v>3000000</v>
      </c>
      <c r="F49" s="757">
        <f t="shared" ref="F49:F50" si="5">E49</f>
        <v>3000000</v>
      </c>
      <c r="G49" s="752"/>
      <c r="J49" s="64"/>
    </row>
    <row r="50" spans="1:10" ht="23.25" customHeight="1">
      <c r="A50" s="752">
        <v>27</v>
      </c>
      <c r="B50" s="747"/>
      <c r="C50" s="747" t="s">
        <v>813</v>
      </c>
      <c r="D50" s="752" t="s">
        <v>799</v>
      </c>
      <c r="E50" s="757">
        <v>3000000</v>
      </c>
      <c r="F50" s="757">
        <f t="shared" si="5"/>
        <v>3000000</v>
      </c>
      <c r="G50" s="752"/>
      <c r="J50" s="64"/>
    </row>
    <row r="51" spans="1:10" ht="31.2">
      <c r="A51" s="820"/>
      <c r="B51" s="821"/>
      <c r="C51" s="821" t="s">
        <v>876</v>
      </c>
      <c r="D51" s="820"/>
      <c r="E51" s="822"/>
      <c r="F51" s="822"/>
      <c r="G51" s="820"/>
      <c r="J51" s="64"/>
    </row>
    <row r="52" spans="1:10" ht="23.25" customHeight="1">
      <c r="A52" s="752">
        <v>25</v>
      </c>
      <c r="B52" s="747"/>
      <c r="C52" s="747" t="s">
        <v>761</v>
      </c>
      <c r="D52" s="752" t="s">
        <v>798</v>
      </c>
      <c r="E52" s="757">
        <v>3000000</v>
      </c>
      <c r="F52" s="757">
        <f>E52</f>
        <v>3000000</v>
      </c>
      <c r="G52" s="752"/>
      <c r="J52" s="64"/>
    </row>
    <row r="53" spans="1:10" ht="23.25" customHeight="1">
      <c r="A53" s="752"/>
      <c r="B53" s="747"/>
      <c r="C53" s="747" t="s">
        <v>872</v>
      </c>
      <c r="D53" s="752" t="s">
        <v>874</v>
      </c>
      <c r="E53" s="757">
        <v>3000000</v>
      </c>
      <c r="F53" s="757">
        <f>E53</f>
        <v>3000000</v>
      </c>
      <c r="G53" s="752"/>
      <c r="J53" s="64"/>
    </row>
    <row r="54" spans="1:10" ht="23.25" customHeight="1">
      <c r="A54" s="752"/>
      <c r="B54" s="747"/>
      <c r="C54" s="747" t="s">
        <v>873</v>
      </c>
      <c r="D54" s="752" t="s">
        <v>875</v>
      </c>
      <c r="E54" s="757">
        <v>0</v>
      </c>
      <c r="F54" s="757">
        <f>E54</f>
        <v>0</v>
      </c>
      <c r="G54" s="752"/>
      <c r="J54" s="64"/>
    </row>
    <row r="55" spans="1:10" ht="15.6">
      <c r="A55" s="753"/>
      <c r="B55" s="750"/>
      <c r="C55" s="750" t="s">
        <v>778</v>
      </c>
      <c r="D55" s="753"/>
      <c r="E55" s="758"/>
      <c r="F55" s="758"/>
      <c r="G55" s="753"/>
      <c r="J55" s="64"/>
    </row>
    <row r="56" spans="1:10" s="64" customFormat="1" ht="21" customHeight="1">
      <c r="A56" s="752">
        <v>29</v>
      </c>
      <c r="B56" s="748"/>
      <c r="C56" s="748" t="s">
        <v>814</v>
      </c>
      <c r="D56" s="752" t="s">
        <v>815</v>
      </c>
      <c r="E56" s="757">
        <v>0</v>
      </c>
      <c r="F56" s="757">
        <f t="shared" ref="F56:F70" si="6">E56</f>
        <v>0</v>
      </c>
      <c r="G56" s="752"/>
      <c r="I56"/>
    </row>
    <row r="57" spans="1:10" ht="21" customHeight="1">
      <c r="A57" s="752">
        <v>30</v>
      </c>
      <c r="B57" s="747"/>
      <c r="C57" s="747" t="s">
        <v>603</v>
      </c>
      <c r="D57" s="752" t="s">
        <v>816</v>
      </c>
      <c r="E57" s="757">
        <v>3000000</v>
      </c>
      <c r="F57" s="757">
        <f t="shared" si="6"/>
        <v>3000000</v>
      </c>
      <c r="G57" s="752"/>
      <c r="J57" s="64"/>
    </row>
    <row r="58" spans="1:10" ht="21" customHeight="1">
      <c r="A58" s="752">
        <v>31</v>
      </c>
      <c r="B58" s="747"/>
      <c r="C58" s="747" t="s">
        <v>625</v>
      </c>
      <c r="D58" s="752" t="s">
        <v>802</v>
      </c>
      <c r="E58" s="757">
        <v>4000000</v>
      </c>
      <c r="F58" s="757">
        <f t="shared" si="6"/>
        <v>4000000</v>
      </c>
      <c r="G58" s="752"/>
      <c r="J58" s="64"/>
    </row>
    <row r="59" spans="1:10" ht="21" customHeight="1">
      <c r="A59" s="752">
        <v>32</v>
      </c>
      <c r="B59" s="747"/>
      <c r="C59" s="747" t="s">
        <v>700</v>
      </c>
      <c r="D59" s="752" t="s">
        <v>808</v>
      </c>
      <c r="E59" s="757">
        <v>4000000</v>
      </c>
      <c r="F59" s="757">
        <f t="shared" si="6"/>
        <v>4000000</v>
      </c>
      <c r="G59" s="752"/>
      <c r="J59" s="64"/>
    </row>
    <row r="60" spans="1:10" ht="21" customHeight="1">
      <c r="A60" s="752">
        <v>33</v>
      </c>
      <c r="B60" s="747"/>
      <c r="C60" s="747" t="s">
        <v>790</v>
      </c>
      <c r="D60" s="752" t="s">
        <v>800</v>
      </c>
      <c r="E60" s="757">
        <v>2000000</v>
      </c>
      <c r="F60" s="757">
        <f t="shared" si="6"/>
        <v>2000000</v>
      </c>
      <c r="G60" s="752"/>
      <c r="J60" s="64"/>
    </row>
    <row r="61" spans="1:10" ht="21" customHeight="1">
      <c r="A61" s="752">
        <v>34</v>
      </c>
      <c r="B61" s="747"/>
      <c r="C61" s="747" t="s">
        <v>791</v>
      </c>
      <c r="D61" s="752" t="s">
        <v>800</v>
      </c>
      <c r="E61" s="757">
        <v>2000000</v>
      </c>
      <c r="F61" s="757">
        <f t="shared" si="6"/>
        <v>2000000</v>
      </c>
      <c r="G61" s="752"/>
      <c r="I61" s="260" t="s">
        <v>830</v>
      </c>
      <c r="J61" s="894">
        <f>F114</f>
        <v>320500000</v>
      </c>
    </row>
    <row r="62" spans="1:10" ht="21" customHeight="1">
      <c r="A62" s="752">
        <v>35</v>
      </c>
      <c r="B62" s="747"/>
      <c r="C62" s="747" t="s">
        <v>792</v>
      </c>
      <c r="D62" s="752" t="s">
        <v>808</v>
      </c>
      <c r="E62" s="757">
        <v>3000000</v>
      </c>
      <c r="F62" s="757">
        <f t="shared" si="6"/>
        <v>3000000</v>
      </c>
      <c r="G62" s="752"/>
      <c r="I62" s="260" t="s">
        <v>242</v>
      </c>
      <c r="J62" s="894">
        <v>70000000</v>
      </c>
    </row>
    <row r="63" spans="1:10" ht="21" customHeight="1">
      <c r="A63" s="752">
        <v>36</v>
      </c>
      <c r="B63" s="747"/>
      <c r="C63" s="747" t="s">
        <v>619</v>
      </c>
      <c r="D63" s="752" t="s">
        <v>801</v>
      </c>
      <c r="E63" s="757">
        <v>2000000</v>
      </c>
      <c r="F63" s="757">
        <f t="shared" si="6"/>
        <v>2000000</v>
      </c>
      <c r="G63" s="752"/>
      <c r="I63" s="260" t="s">
        <v>839</v>
      </c>
      <c r="J63" s="894">
        <v>16000000</v>
      </c>
    </row>
    <row r="64" spans="1:10" ht="21" customHeight="1">
      <c r="A64" s="752">
        <v>37</v>
      </c>
      <c r="B64" s="747"/>
      <c r="C64" s="747" t="s">
        <v>754</v>
      </c>
      <c r="D64" s="752" t="s">
        <v>808</v>
      </c>
      <c r="E64" s="757">
        <v>4000000</v>
      </c>
      <c r="F64" s="757">
        <f t="shared" si="6"/>
        <v>4000000</v>
      </c>
      <c r="G64" s="752"/>
      <c r="I64" s="260" t="s">
        <v>898</v>
      </c>
      <c r="J64" s="894">
        <v>3000000</v>
      </c>
    </row>
    <row r="65" spans="1:10" ht="21" customHeight="1">
      <c r="A65" s="752">
        <v>38</v>
      </c>
      <c r="B65" s="747"/>
      <c r="C65" s="747" t="s">
        <v>82</v>
      </c>
      <c r="D65" s="752" t="s">
        <v>808</v>
      </c>
      <c r="E65" s="757">
        <v>4000000</v>
      </c>
      <c r="F65" s="757">
        <f t="shared" si="6"/>
        <v>4000000</v>
      </c>
      <c r="G65" s="752"/>
      <c r="I65" s="260" t="s">
        <v>878</v>
      </c>
      <c r="J65" s="894">
        <v>3000000</v>
      </c>
    </row>
    <row r="66" spans="1:10" ht="21" customHeight="1">
      <c r="A66" s="752">
        <v>39</v>
      </c>
      <c r="B66" s="747"/>
      <c r="C66" s="747" t="s">
        <v>701</v>
      </c>
      <c r="D66" s="752" t="s">
        <v>818</v>
      </c>
      <c r="E66" s="757">
        <v>4000000</v>
      </c>
      <c r="F66" s="757">
        <f t="shared" si="6"/>
        <v>4000000</v>
      </c>
      <c r="G66" s="752"/>
      <c r="H66" s="554"/>
      <c r="I66" s="895"/>
      <c r="J66" s="896"/>
    </row>
    <row r="67" spans="1:10" s="554" customFormat="1" ht="21" customHeight="1">
      <c r="A67" s="752">
        <v>40</v>
      </c>
      <c r="B67" s="747"/>
      <c r="C67" s="748" t="s">
        <v>742</v>
      </c>
      <c r="D67" s="752" t="s">
        <v>808</v>
      </c>
      <c r="E67" s="760">
        <v>4000000</v>
      </c>
      <c r="F67" s="757">
        <f t="shared" si="6"/>
        <v>4000000</v>
      </c>
      <c r="G67" s="749"/>
      <c r="H67"/>
      <c r="I67" s="895"/>
      <c r="J67" s="897">
        <f>SUM(J61:J66)</f>
        <v>412500000</v>
      </c>
    </row>
    <row r="68" spans="1:10" ht="21" customHeight="1">
      <c r="A68" s="752">
        <v>41</v>
      </c>
      <c r="B68" s="747"/>
      <c r="C68" s="748" t="s">
        <v>785</v>
      </c>
      <c r="D68" s="752" t="s">
        <v>808</v>
      </c>
      <c r="E68" s="760">
        <v>3000000</v>
      </c>
      <c r="F68" s="757">
        <f t="shared" si="6"/>
        <v>3000000</v>
      </c>
      <c r="G68" s="749"/>
      <c r="H68" s="554"/>
      <c r="I68" s="554"/>
      <c r="J68" s="797"/>
    </row>
    <row r="69" spans="1:10" ht="21" customHeight="1">
      <c r="A69" s="752"/>
      <c r="B69" s="747"/>
      <c r="C69" s="748" t="s">
        <v>747</v>
      </c>
      <c r="D69" s="752" t="s">
        <v>902</v>
      </c>
      <c r="E69" s="760">
        <v>3000000</v>
      </c>
      <c r="F69" s="757">
        <f t="shared" si="6"/>
        <v>3000000</v>
      </c>
      <c r="G69" s="749"/>
      <c r="H69" s="554"/>
      <c r="I69" s="554"/>
      <c r="J69" s="797"/>
    </row>
    <row r="70" spans="1:10" ht="21" customHeight="1">
      <c r="A70" s="752"/>
      <c r="B70" s="747"/>
      <c r="C70" s="748" t="s">
        <v>780</v>
      </c>
      <c r="D70" s="752" t="s">
        <v>902</v>
      </c>
      <c r="E70" s="760">
        <v>2000000</v>
      </c>
      <c r="F70" s="757">
        <f t="shared" si="6"/>
        <v>2000000</v>
      </c>
      <c r="G70" s="749"/>
      <c r="H70" s="554"/>
      <c r="I70" s="554"/>
      <c r="J70" s="797"/>
    </row>
    <row r="71" spans="1:10" s="554" customFormat="1" ht="15.6">
      <c r="A71" s="753"/>
      <c r="B71" s="750"/>
      <c r="C71" s="750" t="str">
        <f>'BANG LUONG 1'!C5</f>
        <v>KẾ HOẠCH XỬ LÝ</v>
      </c>
      <c r="D71" s="753"/>
      <c r="E71" s="759"/>
      <c r="F71" s="759"/>
      <c r="G71" s="751"/>
      <c r="H71"/>
      <c r="I71"/>
      <c r="J71"/>
    </row>
    <row r="72" spans="1:10" ht="21.75" customHeight="1">
      <c r="A72" s="752">
        <f>'BANG LUONG 1'!A6</f>
        <v>1</v>
      </c>
      <c r="B72" s="748" t="s">
        <v>118</v>
      </c>
      <c r="C72" s="748" t="str">
        <f>'BANG LUONG 1'!C6</f>
        <v>Nguyễn Trọng Minh</v>
      </c>
      <c r="D72" s="752" t="s">
        <v>817</v>
      </c>
      <c r="E72" s="760">
        <v>4000000</v>
      </c>
      <c r="F72" s="757">
        <f>E72</f>
        <v>4000000</v>
      </c>
      <c r="G72" s="749"/>
      <c r="H72" s="108"/>
      <c r="I72" s="36"/>
    </row>
    <row r="73" spans="1:10" ht="21.75" customHeight="1">
      <c r="A73" s="752">
        <f>'BANG LUONG 1'!A7</f>
        <v>2</v>
      </c>
      <c r="B73" s="747" t="s">
        <v>119</v>
      </c>
      <c r="C73" s="748" t="str">
        <f>'BANG LUONG 1'!C7</f>
        <v xml:space="preserve">Nguyễn Minh Tuấn </v>
      </c>
      <c r="D73" s="752" t="str">
        <f>'BANG LUONG 1'!D7</f>
        <v xml:space="preserve">Công nhân </v>
      </c>
      <c r="E73" s="760">
        <v>3000000</v>
      </c>
      <c r="F73" s="757">
        <f t="shared" ref="F73:F80" si="7">E73</f>
        <v>3000000</v>
      </c>
      <c r="G73" s="749"/>
    </row>
    <row r="74" spans="1:10" ht="21.75" customHeight="1">
      <c r="A74" s="752">
        <f>'BANG LUONG 1'!A9</f>
        <v>7</v>
      </c>
      <c r="B74" s="747" t="s">
        <v>124</v>
      </c>
      <c r="C74" s="748" t="str">
        <f>'BANG LUONG 1'!C9</f>
        <v xml:space="preserve">Triệu Bô Na </v>
      </c>
      <c r="D74" s="752" t="str">
        <f>'BANG LUONG 1'!D9</f>
        <v xml:space="preserve">Công nhân </v>
      </c>
      <c r="E74" s="760">
        <v>4000000</v>
      </c>
      <c r="F74" s="757">
        <f t="shared" si="7"/>
        <v>4000000</v>
      </c>
      <c r="G74" s="749"/>
    </row>
    <row r="75" spans="1:10" ht="21.75" customHeight="1">
      <c r="A75" s="752">
        <f>'BANG LUONG 1'!A10</f>
        <v>9</v>
      </c>
      <c r="B75" s="747" t="s">
        <v>126</v>
      </c>
      <c r="C75" s="748" t="str">
        <f>'BANG LUONG 1'!C10</f>
        <v>Phan Lâm Thương</v>
      </c>
      <c r="D75" s="752" t="str">
        <f>'BANG LUONG 1'!D10</f>
        <v xml:space="preserve">Công nhân </v>
      </c>
      <c r="E75" s="760">
        <v>3000000</v>
      </c>
      <c r="F75" s="757">
        <f t="shared" si="7"/>
        <v>3000000</v>
      </c>
      <c r="G75" s="749"/>
    </row>
    <row r="76" spans="1:10" ht="21.75" customHeight="1">
      <c r="A76" s="752">
        <f>'BANG LUONG 1'!A11</f>
        <v>10</v>
      </c>
      <c r="B76" s="747" t="s">
        <v>127</v>
      </c>
      <c r="C76" s="748" t="str">
        <f>'BANG LUONG 1'!C11</f>
        <v>Nguyễn Bình Luận</v>
      </c>
      <c r="D76" s="752" t="str">
        <f>'BANG LUONG 1'!D11</f>
        <v xml:space="preserve">Công nhân </v>
      </c>
      <c r="E76" s="760">
        <v>3000000</v>
      </c>
      <c r="F76" s="757">
        <f t="shared" si="7"/>
        <v>3000000</v>
      </c>
      <c r="G76" s="749"/>
    </row>
    <row r="77" spans="1:10" ht="21.75" customHeight="1">
      <c r="A77" s="752">
        <f>'BANG LUONG 1'!A12</f>
        <v>11</v>
      </c>
      <c r="B77" s="747" t="s">
        <v>128</v>
      </c>
      <c r="C77" s="748" t="str">
        <f>'BANG LUONG 1'!C12</f>
        <v>Nguyễn Thế Lực</v>
      </c>
      <c r="D77" s="752" t="str">
        <f>'BANG LUONG 1'!D12</f>
        <v xml:space="preserve">Công nhân </v>
      </c>
      <c r="E77" s="760">
        <v>4000000</v>
      </c>
      <c r="F77" s="757">
        <f t="shared" si="7"/>
        <v>4000000</v>
      </c>
      <c r="G77" s="749"/>
    </row>
    <row r="78" spans="1:10" ht="21.75" customHeight="1">
      <c r="A78" s="752">
        <f>'BANG LUONG 1'!A13</f>
        <v>12</v>
      </c>
      <c r="B78" s="752" t="str">
        <f>'BANG LUONG 1'!B13</f>
        <v>NV12</v>
      </c>
      <c r="C78" s="748" t="str">
        <f>'BANG LUONG 1'!C13</f>
        <v>Nguyễn Thành Vân</v>
      </c>
      <c r="D78" s="752" t="str">
        <f>'BANG LUONG 1'!D13</f>
        <v xml:space="preserve">Công nhân </v>
      </c>
      <c r="E78" s="760">
        <v>0</v>
      </c>
      <c r="F78" s="757">
        <f t="shared" si="7"/>
        <v>0</v>
      </c>
      <c r="G78" s="749"/>
    </row>
    <row r="79" spans="1:10" ht="21.75" customHeight="1">
      <c r="A79" s="752">
        <f>'BANG LUONG 1'!A14</f>
        <v>0</v>
      </c>
      <c r="B79" s="752" t="str">
        <f>'BANG LUONG 1'!B14</f>
        <v>NV46</v>
      </c>
      <c r="C79" s="748" t="str">
        <f>'BANG LUONG 1'!C14</f>
        <v>Lương Trường Giang</v>
      </c>
      <c r="D79" s="752" t="str">
        <f>'BANG LUONG 1'!D14</f>
        <v xml:space="preserve">Công nhân </v>
      </c>
      <c r="E79" s="760">
        <v>0</v>
      </c>
      <c r="F79" s="757">
        <f t="shared" si="7"/>
        <v>0</v>
      </c>
      <c r="G79" s="749"/>
    </row>
    <row r="80" spans="1:10" ht="21.75" customHeight="1">
      <c r="A80" s="752">
        <f>'BANG LUONG 1'!A15</f>
        <v>0</v>
      </c>
      <c r="B80" s="752" t="str">
        <f>'BANG LUONG 1'!B15</f>
        <v>NV47</v>
      </c>
      <c r="C80" s="748" t="str">
        <f>'BANG LUONG 1'!C15</f>
        <v>Bùi Trọng Nghĩa</v>
      </c>
      <c r="D80" s="752" t="str">
        <f>'BANG LUONG 1'!D15</f>
        <v xml:space="preserve">Công nhân </v>
      </c>
      <c r="E80" s="760">
        <v>4000000</v>
      </c>
      <c r="F80" s="757">
        <f t="shared" si="7"/>
        <v>4000000</v>
      </c>
      <c r="G80" s="749"/>
      <c r="H80" s="679"/>
      <c r="I80" s="782"/>
      <c r="J80" s="36"/>
    </row>
    <row r="81" spans="1:10" s="36" customFormat="1" ht="25.5" customHeight="1">
      <c r="A81" s="752">
        <f>'BANG LUONG 1'!A16</f>
        <v>38</v>
      </c>
      <c r="B81" s="748" t="str">
        <f>'BANG LUONG 1'!B16</f>
        <v>NV38</v>
      </c>
      <c r="C81" s="748" t="str">
        <f>'BANG LUONG 1'!C16</f>
        <v>Nguyễn Văn Rắng</v>
      </c>
      <c r="D81" s="752" t="str">
        <f>'BANG LUONG 1'!D16</f>
        <v xml:space="preserve">Công nhân </v>
      </c>
      <c r="E81" s="760">
        <v>4000000</v>
      </c>
      <c r="F81" s="762">
        <f>E81</f>
        <v>4000000</v>
      </c>
      <c r="G81" s="748"/>
      <c r="H81"/>
      <c r="I81" s="554"/>
      <c r="J81"/>
    </row>
    <row r="82" spans="1:10" ht="22.5" customHeight="1">
      <c r="A82" s="752">
        <f>'BANG LUONG 1'!A17</f>
        <v>29</v>
      </c>
      <c r="B82" s="748" t="str">
        <f>'BANG LUONG 1'!B17</f>
        <v>NV29</v>
      </c>
      <c r="C82" s="748" t="str">
        <f>'BANG LUONG 1'!C17</f>
        <v>Phan Văn Bạn</v>
      </c>
      <c r="D82" s="752" t="str">
        <f>'BANG LUONG 1'!D17</f>
        <v>Lái xe cơ giới</v>
      </c>
      <c r="E82" s="760">
        <v>3000000</v>
      </c>
      <c r="F82" s="762">
        <f>E82</f>
        <v>3000000</v>
      </c>
      <c r="G82" s="749"/>
      <c r="H82" s="797"/>
      <c r="I82" s="782"/>
    </row>
    <row r="83" spans="1:10" ht="15.6">
      <c r="A83" s="753" t="str">
        <f>'BANG LUONG 1'!A18</f>
        <v>J</v>
      </c>
      <c r="B83" s="750"/>
      <c r="C83" s="750" t="str">
        <f>'BANG LUONG 1'!C18</f>
        <v>TÀI XẾ</v>
      </c>
      <c r="D83" s="753"/>
      <c r="E83" s="759"/>
      <c r="F83" s="759"/>
      <c r="G83" s="751"/>
      <c r="I83" s="554"/>
    </row>
    <row r="84" spans="1:10" ht="22.5" customHeight="1">
      <c r="A84" s="752">
        <f>'BANG LUONG 1'!A19</f>
        <v>13</v>
      </c>
      <c r="B84" s="748" t="str">
        <f>'BANG LUONG 1'!B19</f>
        <v>NV13</v>
      </c>
      <c r="C84" s="748" t="str">
        <f>'BANG LUONG 1'!C19</f>
        <v>Triệu Minh Tú</v>
      </c>
      <c r="D84" s="752" t="str">
        <f>'BANG LUONG 1'!D19</f>
        <v>Lái xe cơ giới</v>
      </c>
      <c r="E84" s="760">
        <v>4000000</v>
      </c>
      <c r="F84" s="762">
        <f>E84</f>
        <v>4000000</v>
      </c>
      <c r="G84" s="749"/>
    </row>
    <row r="85" spans="1:10" ht="22.5" customHeight="1">
      <c r="A85" s="752">
        <f>'BANG LUONG 1'!A20</f>
        <v>14</v>
      </c>
      <c r="B85" s="748" t="str">
        <f>'BANG LUONG 1'!B20</f>
        <v>NV14</v>
      </c>
      <c r="C85" s="748" t="str">
        <f>'BANG LUONG 1'!C20</f>
        <v>Nguyễn Văn Chạy</v>
      </c>
      <c r="D85" s="752" t="str">
        <f>'BANG LUONG 1'!D20</f>
        <v>Lái xe cơ giới</v>
      </c>
      <c r="E85" s="760">
        <v>3000000</v>
      </c>
      <c r="F85" s="762">
        <f t="shared" ref="F85:F102" si="8">E85</f>
        <v>3000000</v>
      </c>
      <c r="G85" s="749"/>
      <c r="I85" s="554"/>
    </row>
    <row r="86" spans="1:10" ht="22.5" customHeight="1">
      <c r="A86" s="752">
        <f>'BANG LUONG 1'!A21</f>
        <v>15</v>
      </c>
      <c r="B86" s="748" t="str">
        <f>'BANG LUONG 1'!B21</f>
        <v>NV15</v>
      </c>
      <c r="C86" s="748" t="str">
        <f>'BANG LUONG 1'!C21</f>
        <v>Hà Hoàng Hùng</v>
      </c>
      <c r="D86" s="752" t="str">
        <f>'BANG LUONG 1'!D21</f>
        <v>Lái xe cơ giới</v>
      </c>
      <c r="E86" s="760">
        <v>0</v>
      </c>
      <c r="F86" s="762">
        <f t="shared" si="8"/>
        <v>0</v>
      </c>
      <c r="G86" s="749"/>
      <c r="H86" s="36"/>
      <c r="J86" s="36"/>
    </row>
    <row r="87" spans="1:10" s="36" customFormat="1" ht="22.5" customHeight="1">
      <c r="A87" s="752">
        <f>'BANG LUONG 1'!A22</f>
        <v>16</v>
      </c>
      <c r="B87" s="748" t="str">
        <f>'BANG LUONG 1'!B22</f>
        <v>NV16</v>
      </c>
      <c r="C87" s="748" t="str">
        <f>'BANG LUONG 1'!C22</f>
        <v>Châu Thành Nhân</v>
      </c>
      <c r="D87" s="752" t="str">
        <f>'BANG LUONG 1'!D22</f>
        <v>Lái xe cơ giới</v>
      </c>
      <c r="E87" s="760">
        <v>4000000</v>
      </c>
      <c r="F87" s="762">
        <f t="shared" si="8"/>
        <v>4000000</v>
      </c>
      <c r="G87" s="748"/>
      <c r="I87" s="554"/>
    </row>
    <row r="88" spans="1:10" s="36" customFormat="1" ht="22.5" customHeight="1">
      <c r="A88" s="752">
        <f>'BANG LUONG 1'!A23</f>
        <v>18</v>
      </c>
      <c r="B88" s="748" t="str">
        <f>'BANG LUONG 1'!B23</f>
        <v>NV18</v>
      </c>
      <c r="C88" s="748" t="str">
        <f>'BANG LUONG 1'!C23</f>
        <v>Châu Văn Phước</v>
      </c>
      <c r="D88" s="752" t="str">
        <f>'BANG LUONG 1'!D23</f>
        <v>Lái xe cơ giới</v>
      </c>
      <c r="E88" s="760">
        <v>0</v>
      </c>
      <c r="F88" s="762">
        <f t="shared" si="8"/>
        <v>0</v>
      </c>
      <c r="G88" s="748"/>
      <c r="H88" s="718"/>
      <c r="I88" s="554"/>
      <c r="J88" s="718"/>
    </row>
    <row r="89" spans="1:10" s="718" customFormat="1" ht="22.5" customHeight="1">
      <c r="A89" s="752">
        <f>'BANG LUONG 1'!A24</f>
        <v>19</v>
      </c>
      <c r="B89" s="748" t="str">
        <f>'BANG LUONG 1'!B24</f>
        <v>NV19</v>
      </c>
      <c r="C89" s="748" t="str">
        <f>'BANG LUONG 1'!C24</f>
        <v>Thạch Giàu</v>
      </c>
      <c r="D89" s="752" t="str">
        <f>'BANG LUONG 1'!D24</f>
        <v>Lái xe cơ giới</v>
      </c>
      <c r="E89" s="760">
        <v>4000000</v>
      </c>
      <c r="F89" s="762">
        <f t="shared" si="8"/>
        <v>4000000</v>
      </c>
      <c r="G89" s="748"/>
      <c r="H89"/>
      <c r="I89" s="554"/>
      <c r="J89"/>
    </row>
    <row r="90" spans="1:10" ht="22.5" customHeight="1">
      <c r="A90" s="752">
        <f>'BANG LUONG 1'!A25</f>
        <v>20</v>
      </c>
      <c r="B90" s="748" t="str">
        <f>'BANG LUONG 1'!B25</f>
        <v>NV20</v>
      </c>
      <c r="C90" s="748" t="str">
        <f>'BANG LUONG 1'!C25</f>
        <v>Trần Thanh Hậu</v>
      </c>
      <c r="D90" s="752" t="str">
        <f>'BANG LUONG 1'!D25</f>
        <v>Lái xe cơ giới</v>
      </c>
      <c r="E90" s="760">
        <v>3000000</v>
      </c>
      <c r="F90" s="762">
        <f t="shared" si="8"/>
        <v>3000000</v>
      </c>
      <c r="G90" s="749"/>
      <c r="H90" s="554"/>
      <c r="I90" s="554"/>
      <c r="J90" s="554"/>
    </row>
    <row r="91" spans="1:10" s="554" customFormat="1" ht="22.5" customHeight="1">
      <c r="A91" s="752">
        <f>'BANG LUONG 1'!A26</f>
        <v>21</v>
      </c>
      <c r="B91" s="748" t="str">
        <f>'BANG LUONG 1'!B26</f>
        <v>NV21</v>
      </c>
      <c r="C91" s="748" t="str">
        <f>'BANG LUONG 1'!C26</f>
        <v xml:space="preserve">Trần Văn Thứ </v>
      </c>
      <c r="D91" s="752" t="str">
        <f>'BANG LUONG 1'!D26</f>
        <v>Lái xe cơ giới</v>
      </c>
      <c r="E91" s="760">
        <v>3000000</v>
      </c>
      <c r="F91" s="762">
        <f t="shared" si="8"/>
        <v>3000000</v>
      </c>
      <c r="G91" s="749"/>
      <c r="H91"/>
      <c r="J91"/>
    </row>
    <row r="92" spans="1:10" ht="22.5" customHeight="1">
      <c r="A92" s="752">
        <f>'BANG LUONG 1'!A27</f>
        <v>22</v>
      </c>
      <c r="B92" s="748" t="str">
        <f>'BANG LUONG 1'!B27</f>
        <v>NV22</v>
      </c>
      <c r="C92" s="748" t="str">
        <f>'BANG LUONG 1'!C27</f>
        <v>Lê Tấn Phát</v>
      </c>
      <c r="D92" s="752" t="str">
        <f>'BANG LUONG 1'!D27</f>
        <v>Lái xe cơ giới</v>
      </c>
      <c r="E92" s="760">
        <v>0</v>
      </c>
      <c r="F92" s="762">
        <f t="shared" si="8"/>
        <v>0</v>
      </c>
      <c r="G92" s="749"/>
      <c r="H92" s="108"/>
      <c r="I92" s="554"/>
    </row>
    <row r="93" spans="1:10" ht="22.5" customHeight="1">
      <c r="A93" s="752">
        <f>'BANG LUONG 1'!A28</f>
        <v>23</v>
      </c>
      <c r="B93" s="748" t="str">
        <f>'BANG LUONG 1'!B28</f>
        <v>NV23</v>
      </c>
      <c r="C93" s="748" t="str">
        <f>'BANG LUONG 1'!C28</f>
        <v>Quách Văn Chánh</v>
      </c>
      <c r="D93" s="752" t="str">
        <f>'BANG LUONG 1'!D28</f>
        <v xml:space="preserve">Công nhân </v>
      </c>
      <c r="E93" s="760">
        <v>3000000</v>
      </c>
      <c r="F93" s="762">
        <f t="shared" si="8"/>
        <v>3000000</v>
      </c>
      <c r="G93" s="749"/>
      <c r="H93" s="869"/>
      <c r="I93" s="797"/>
    </row>
    <row r="94" spans="1:10" ht="22.5" customHeight="1">
      <c r="A94" s="752">
        <f>'BANG LUONG 1'!A29</f>
        <v>24</v>
      </c>
      <c r="B94" s="748" t="str">
        <f>'BANG LUONG 1'!B29</f>
        <v>NV24</v>
      </c>
      <c r="C94" s="748" t="str">
        <f>'BANG LUONG 1'!C29</f>
        <v>Trần văn Nguyện</v>
      </c>
      <c r="D94" s="752" t="str">
        <f>'BANG LUONG 1'!D29</f>
        <v>Công nhân  (TX )</v>
      </c>
      <c r="E94" s="760">
        <v>2000000</v>
      </c>
      <c r="F94" s="762">
        <f t="shared" si="8"/>
        <v>2000000</v>
      </c>
      <c r="G94" s="749"/>
      <c r="H94" s="797"/>
      <c r="I94" s="797"/>
      <c r="J94" s="554"/>
    </row>
    <row r="95" spans="1:10" s="554" customFormat="1" ht="22.5" customHeight="1">
      <c r="A95" s="752">
        <f>'BANG LUONG 1'!A30</f>
        <v>25</v>
      </c>
      <c r="B95" s="748" t="str">
        <f>'BANG LUONG 1'!B30</f>
        <v>NV25</v>
      </c>
      <c r="C95" s="748" t="str">
        <f>'BANG LUONG 1'!C30</f>
        <v>Châu Văn Tâm</v>
      </c>
      <c r="D95" s="752" t="str">
        <f>'BANG LUONG 1'!D30</f>
        <v>Lái xe cơ giới</v>
      </c>
      <c r="E95" s="760">
        <v>4000000</v>
      </c>
      <c r="F95" s="762">
        <f t="shared" si="8"/>
        <v>4000000</v>
      </c>
      <c r="G95" s="749"/>
      <c r="H95" s="797"/>
      <c r="I95" s="782"/>
    </row>
    <row r="96" spans="1:10" s="554" customFormat="1" ht="22.5" customHeight="1">
      <c r="A96" s="752">
        <f>'BANG LUONG 1'!A31</f>
        <v>26</v>
      </c>
      <c r="B96" s="748" t="str">
        <f>'BANG LUONG 1'!B31</f>
        <v>NV26</v>
      </c>
      <c r="C96" s="748" t="str">
        <f>'BANG LUONG 1'!C31</f>
        <v>Trần Ngọc Sơn</v>
      </c>
      <c r="D96" s="752" t="str">
        <f>'BANG LUONG 1'!D31</f>
        <v>Lái xe cơ giới</v>
      </c>
      <c r="E96" s="760">
        <v>4000000</v>
      </c>
      <c r="F96" s="762">
        <f t="shared" si="8"/>
        <v>4000000</v>
      </c>
      <c r="G96" s="749"/>
      <c r="H96" s="797"/>
      <c r="I96" s="782"/>
    </row>
    <row r="97" spans="1:10" s="554" customFormat="1" ht="22.5" customHeight="1">
      <c r="A97" s="752">
        <f>'BANG LUONG 1'!A32</f>
        <v>27</v>
      </c>
      <c r="B97" s="748" t="str">
        <f>'BANG LUONG 1'!B32</f>
        <v>NV27</v>
      </c>
      <c r="C97" s="748" t="str">
        <f>'BANG LUONG 1'!C32</f>
        <v>Nguyễn Văn Tuấn</v>
      </c>
      <c r="D97" s="752" t="str">
        <f>'BANG LUONG 1'!D32</f>
        <v>Lái xe cơ giới</v>
      </c>
      <c r="E97" s="760">
        <v>3000000</v>
      </c>
      <c r="F97" s="762">
        <f t="shared" si="8"/>
        <v>3000000</v>
      </c>
      <c r="G97" s="749"/>
      <c r="H97" s="782"/>
      <c r="I97" s="64"/>
      <c r="J97" s="36"/>
    </row>
    <row r="98" spans="1:10" s="36" customFormat="1" ht="22.5" customHeight="1">
      <c r="A98" s="752">
        <f>'BANG LUONG 1'!A33</f>
        <v>28</v>
      </c>
      <c r="B98" s="748" t="str">
        <f>'BANG LUONG 1'!B33</f>
        <v>NV28</v>
      </c>
      <c r="C98" s="748" t="str">
        <f>'BANG LUONG 1'!C33</f>
        <v>Hà Thanh Truyền</v>
      </c>
      <c r="D98" s="752" t="str">
        <f>'BANG LUONG 1'!D33</f>
        <v>Lái xe cơ giới</v>
      </c>
      <c r="E98" s="760">
        <v>4000000</v>
      </c>
      <c r="F98" s="762">
        <f t="shared" si="8"/>
        <v>4000000</v>
      </c>
      <c r="G98" s="748"/>
      <c r="H98" s="797"/>
      <c r="I98" s="64"/>
      <c r="J98"/>
    </row>
    <row r="99" spans="1:10" ht="22.5" customHeight="1">
      <c r="A99" s="752">
        <f>'BANG LUONG 1'!A34</f>
        <v>30</v>
      </c>
      <c r="B99" s="748" t="str">
        <f>'BANG LUONG 1'!B34</f>
        <v>NV30</v>
      </c>
      <c r="C99" s="748" t="str">
        <f>'BANG LUONG 1'!C34</f>
        <v>Lê Minh Trọng</v>
      </c>
      <c r="D99" s="752" t="str">
        <f>'BANG LUONG 1'!D34</f>
        <v>Lái xe cơ giới</v>
      </c>
      <c r="E99" s="760">
        <v>4000000</v>
      </c>
      <c r="F99" s="762">
        <f t="shared" si="8"/>
        <v>4000000</v>
      </c>
      <c r="G99" s="749"/>
      <c r="H99" s="797"/>
      <c r="I99" s="782"/>
      <c r="J99" s="554"/>
    </row>
    <row r="100" spans="1:10" s="554" customFormat="1" ht="22.5" customHeight="1">
      <c r="A100" s="752">
        <f>'BANG LUONG 1'!A35</f>
        <v>31</v>
      </c>
      <c r="B100" s="748" t="str">
        <f>'BANG LUONG 1'!B35</f>
        <v>NV31</v>
      </c>
      <c r="C100" s="748" t="str">
        <f>'BANG LUONG 1'!C35</f>
        <v>Nguyễn Văn Lâm</v>
      </c>
      <c r="D100" s="752" t="str">
        <f>'BANG LUONG 1'!D35</f>
        <v>Lái xe cơ giới</v>
      </c>
      <c r="E100" s="760">
        <v>3500000</v>
      </c>
      <c r="F100" s="762">
        <f t="shared" si="8"/>
        <v>3500000</v>
      </c>
      <c r="G100" s="749"/>
      <c r="H100" s="797"/>
      <c r="I100" s="782"/>
    </row>
    <row r="101" spans="1:10" s="554" customFormat="1" ht="22.5" customHeight="1">
      <c r="A101" s="752">
        <f>'BANG LUONG 1'!A36</f>
        <v>32</v>
      </c>
      <c r="B101" s="748" t="str">
        <f>'BANG LUONG 1'!B36</f>
        <v>NV32</v>
      </c>
      <c r="C101" s="748" t="str">
        <f>'BANG LUONG 1'!C36</f>
        <v>Lương Minh Tâm</v>
      </c>
      <c r="D101" s="752" t="str">
        <f>'BANG LUONG 1'!D36</f>
        <v>Vận hành xe xúc BH</v>
      </c>
      <c r="E101" s="760">
        <v>4000000</v>
      </c>
      <c r="F101" s="762">
        <f t="shared" si="8"/>
        <v>4000000</v>
      </c>
      <c r="G101" s="749"/>
      <c r="H101" s="797"/>
      <c r="I101" s="782"/>
    </row>
    <row r="102" spans="1:10" s="554" customFormat="1" ht="22.5" customHeight="1">
      <c r="A102" s="752">
        <f>'BANG LUONG 1'!A37</f>
        <v>33</v>
      </c>
      <c r="B102" s="748" t="str">
        <f>'BANG LUONG 1'!B37</f>
        <v>NV33</v>
      </c>
      <c r="C102" s="748" t="str">
        <f>'BANG LUONG 1'!C37</f>
        <v>Nguyễn Thành Tài</v>
      </c>
      <c r="D102" s="752" t="str">
        <f>'BANG LUONG 1'!D37</f>
        <v>Lái xe nâng</v>
      </c>
      <c r="E102" s="760">
        <v>0</v>
      </c>
      <c r="F102" s="762">
        <f t="shared" si="8"/>
        <v>0</v>
      </c>
      <c r="G102" s="749"/>
      <c r="H102" s="797"/>
      <c r="I102" s="782"/>
    </row>
    <row r="103" spans="1:10" s="554" customFormat="1" ht="31.2">
      <c r="A103" s="753" t="str">
        <f>'BANG LUONG 1'!A38</f>
        <v>G</v>
      </c>
      <c r="B103" s="750"/>
      <c r="C103" s="750" t="str">
        <f>'BANG LUONG 1'!C38</f>
        <v>VỆ SINH - MÔI TRƯỜNG</v>
      </c>
      <c r="D103" s="753"/>
      <c r="E103" s="759"/>
      <c r="F103" s="759"/>
      <c r="G103" s="759"/>
      <c r="I103" s="782"/>
      <c r="J103" s="797"/>
    </row>
    <row r="104" spans="1:10" s="797" customFormat="1" ht="25.5" customHeight="1">
      <c r="A104" s="752"/>
      <c r="B104" s="748"/>
      <c r="C104" s="748" t="s">
        <v>547</v>
      </c>
      <c r="D104" s="752" t="s">
        <v>820</v>
      </c>
      <c r="E104" s="760">
        <v>0</v>
      </c>
      <c r="F104" s="762">
        <f>E104</f>
        <v>0</v>
      </c>
      <c r="G104" s="760"/>
      <c r="H104" s="554"/>
      <c r="I104" s="782"/>
    </row>
    <row r="105" spans="1:10" s="797" customFormat="1" ht="25.5" customHeight="1">
      <c r="A105" s="752"/>
      <c r="B105" s="748"/>
      <c r="C105" s="748" t="s">
        <v>837</v>
      </c>
      <c r="D105" s="752" t="s">
        <v>838</v>
      </c>
      <c r="E105" s="760">
        <v>4000000</v>
      </c>
      <c r="F105" s="762">
        <f>E105</f>
        <v>4000000</v>
      </c>
      <c r="G105" s="760"/>
      <c r="H105"/>
      <c r="I105" s="782"/>
      <c r="J105" s="554"/>
    </row>
    <row r="106" spans="1:10" s="797" customFormat="1" ht="25.5" customHeight="1">
      <c r="A106" s="752"/>
      <c r="B106" s="748"/>
      <c r="C106" s="748" t="s">
        <v>911</v>
      </c>
      <c r="D106" s="752" t="s">
        <v>912</v>
      </c>
      <c r="E106" s="760">
        <v>4000000</v>
      </c>
      <c r="F106" s="762">
        <f>E106</f>
        <v>4000000</v>
      </c>
      <c r="G106" s="760"/>
      <c r="H106"/>
      <c r="I106" s="782"/>
      <c r="J106" s="554"/>
    </row>
    <row r="107" spans="1:10" s="554" customFormat="1" ht="25.5" customHeight="1">
      <c r="A107" s="752">
        <f>'BANG LUONG 1'!A39</f>
        <v>34</v>
      </c>
      <c r="B107" s="748" t="str">
        <f>'BANG LUONG 1'!B39</f>
        <v>NV34</v>
      </c>
      <c r="C107" s="748" t="str">
        <f>'BANG LUONG 1'!C39</f>
        <v>Nguyễn Văn Mèo</v>
      </c>
      <c r="D107" s="752" t="str">
        <f>'BANG LUONG 1'!D39</f>
        <v>Công nhân</v>
      </c>
      <c r="E107" s="760">
        <v>4000000</v>
      </c>
      <c r="F107" s="762">
        <f t="shared" ref="F107:F113" si="9">E107</f>
        <v>4000000</v>
      </c>
      <c r="G107" s="749"/>
      <c r="I107" s="782"/>
      <c r="J107"/>
    </row>
    <row r="108" spans="1:10" ht="25.5" customHeight="1">
      <c r="A108" s="752">
        <f>'BANG LUONG 1'!A40</f>
        <v>35</v>
      </c>
      <c r="B108" s="748" t="str">
        <f>'BANG LUONG 1'!B40</f>
        <v>NV35</v>
      </c>
      <c r="C108" s="748" t="str">
        <f>'BANG LUONG 1'!C40</f>
        <v>Nguyễn Văn Phụng</v>
      </c>
      <c r="D108" s="752" t="str">
        <f>'BANG LUONG 1'!D40</f>
        <v xml:space="preserve">Công nhân </v>
      </c>
      <c r="E108" s="760">
        <v>4000000</v>
      </c>
      <c r="F108" s="762">
        <f t="shared" si="9"/>
        <v>4000000</v>
      </c>
      <c r="G108" s="749"/>
      <c r="H108" s="36"/>
      <c r="I108" s="782"/>
    </row>
    <row r="109" spans="1:10" ht="25.5" customHeight="1">
      <c r="A109" s="752">
        <f>'BANG LUONG 1'!A41</f>
        <v>37</v>
      </c>
      <c r="B109" s="748" t="str">
        <f>'BANG LUONG 1'!B41</f>
        <v>NV37</v>
      </c>
      <c r="C109" s="748" t="str">
        <f>'BANG LUONG 1'!C41</f>
        <v>Nguyễn Tấn Kiệt</v>
      </c>
      <c r="D109" s="752" t="str">
        <f>'BANG LUONG 1'!D41</f>
        <v xml:space="preserve">Công nhân </v>
      </c>
      <c r="E109" s="760">
        <v>4000000</v>
      </c>
      <c r="F109" s="762">
        <f t="shared" si="9"/>
        <v>4000000</v>
      </c>
      <c r="G109" s="749"/>
      <c r="H109" s="679"/>
      <c r="I109" s="64"/>
      <c r="J109" s="36"/>
    </row>
    <row r="110" spans="1:10" s="36" customFormat="1" ht="25.5" customHeight="1">
      <c r="A110" s="752">
        <f>'BANG LUONG 1'!A42</f>
        <v>39</v>
      </c>
      <c r="B110" s="748" t="str">
        <f>'BANG LUONG 1'!B42</f>
        <v>NV39</v>
      </c>
      <c r="C110" s="748" t="str">
        <f>'BANG LUONG 1'!C42</f>
        <v>Lê Ngọc Đức</v>
      </c>
      <c r="D110" s="752" t="str">
        <f>'BANG LUONG 1'!D42</f>
        <v xml:space="preserve">Công nhân </v>
      </c>
      <c r="E110" s="760">
        <v>4000000</v>
      </c>
      <c r="F110" s="762">
        <f t="shared" si="9"/>
        <v>4000000</v>
      </c>
      <c r="G110" s="748"/>
      <c r="H110" s="679"/>
      <c r="I110" s="64"/>
    </row>
    <row r="111" spans="1:10" s="36" customFormat="1" ht="25.5" customHeight="1">
      <c r="A111" s="752">
        <f>'BANG LUONG 1'!A43</f>
        <v>41</v>
      </c>
      <c r="B111" s="748" t="str">
        <f>'BANG LUONG 1'!B43</f>
        <v>NV41</v>
      </c>
      <c r="C111" s="748" t="str">
        <f>'BANG LUONG 1'!C43</f>
        <v>Bùi Văn Ây</v>
      </c>
      <c r="D111" s="752" t="str">
        <f>'BANG LUONG 1'!D43</f>
        <v xml:space="preserve">Công nhân </v>
      </c>
      <c r="E111" s="760">
        <v>4000000</v>
      </c>
      <c r="F111" s="762">
        <f t="shared" si="9"/>
        <v>4000000</v>
      </c>
      <c r="G111" s="748"/>
      <c r="H111" s="679"/>
      <c r="I111" s="64"/>
    </row>
    <row r="112" spans="1:10" s="36" customFormat="1" ht="25.5" customHeight="1">
      <c r="A112" s="752">
        <f>'BANG LUONG 1'!A44</f>
        <v>45</v>
      </c>
      <c r="B112" s="748" t="str">
        <f>'BANG LUONG 1'!B44</f>
        <v>NV45</v>
      </c>
      <c r="C112" s="748" t="str">
        <f>'BANG LUONG 1'!C44</f>
        <v>Đặng Hải Bằng</v>
      </c>
      <c r="D112" s="752" t="str">
        <f>'BANG LUONG 1'!D44</f>
        <v xml:space="preserve">Công nhân </v>
      </c>
      <c r="E112" s="760">
        <v>0</v>
      </c>
      <c r="F112" s="762">
        <f t="shared" si="9"/>
        <v>0</v>
      </c>
      <c r="G112" s="748"/>
      <c r="H112" s="554"/>
      <c r="I112" s="64"/>
      <c r="J112" s="554"/>
    </row>
    <row r="113" spans="1:10" s="36" customFormat="1" ht="25.5" customHeight="1">
      <c r="A113" s="752">
        <f>'BANG LUONG 1'!A45</f>
        <v>0</v>
      </c>
      <c r="B113" s="748" t="str">
        <f>'BANG LUONG 1'!B45</f>
        <v>NV49</v>
      </c>
      <c r="C113" s="748" t="str">
        <f>'BANG LUONG 1'!C45</f>
        <v>Nguyễn Đình Tâm</v>
      </c>
      <c r="D113" s="752" t="str">
        <f>'BANG LUONG 1'!D45</f>
        <v xml:space="preserve">Công nhân </v>
      </c>
      <c r="E113" s="760">
        <v>4000000</v>
      </c>
      <c r="F113" s="762">
        <f t="shared" si="9"/>
        <v>4000000</v>
      </c>
      <c r="G113" s="748"/>
      <c r="H113" s="554"/>
      <c r="I113" s="64"/>
      <c r="J113" s="554"/>
    </row>
    <row r="114" spans="1:10" s="554" customFormat="1" ht="15.6">
      <c r="A114" s="983" t="s">
        <v>768</v>
      </c>
      <c r="B114" s="983"/>
      <c r="C114" s="983"/>
      <c r="D114" s="983"/>
      <c r="E114" s="761"/>
      <c r="F114" s="754">
        <f>SUM(F3:F113)</f>
        <v>320500000</v>
      </c>
      <c r="G114" s="755"/>
      <c r="I114" s="64"/>
    </row>
    <row r="115" spans="1:10" s="554" customFormat="1">
      <c r="A115" s="876"/>
      <c r="B115" s="676"/>
      <c r="C115" s="676"/>
      <c r="D115" s="874"/>
      <c r="E115" s="677"/>
      <c r="F115" s="677"/>
      <c r="G115" s="678"/>
      <c r="I115" s="64"/>
    </row>
    <row r="116" spans="1:10" s="554" customFormat="1" ht="15.6">
      <c r="A116" s="877"/>
      <c r="B116" s="764"/>
      <c r="C116" s="763" t="s">
        <v>565</v>
      </c>
      <c r="D116" s="867"/>
      <c r="E116" s="766"/>
      <c r="F116" s="985" t="s">
        <v>769</v>
      </c>
      <c r="G116" s="985"/>
      <c r="I116" s="64"/>
    </row>
    <row r="117" spans="1:10" s="554" customFormat="1" ht="15.6">
      <c r="A117" s="877"/>
      <c r="B117" s="764"/>
      <c r="C117" s="765"/>
      <c r="D117" s="867"/>
      <c r="E117" s="766"/>
      <c r="F117" s="766"/>
      <c r="G117" s="767"/>
      <c r="I117" s="64"/>
    </row>
    <row r="118" spans="1:10" s="554" customFormat="1" ht="15.6">
      <c r="A118" s="877"/>
      <c r="B118" s="764"/>
      <c r="C118" s="765"/>
      <c r="D118" s="867"/>
      <c r="E118" s="766"/>
      <c r="F118" s="766"/>
      <c r="G118" s="767"/>
      <c r="I118" s="64"/>
    </row>
    <row r="119" spans="1:10" s="554" customFormat="1" ht="15.6">
      <c r="A119" s="877"/>
      <c r="B119" s="764"/>
      <c r="C119" s="765"/>
      <c r="D119" s="867"/>
      <c r="E119" s="766"/>
      <c r="F119" s="766"/>
      <c r="G119" s="767"/>
      <c r="I119" s="64"/>
    </row>
    <row r="120" spans="1:10" s="554" customFormat="1" ht="15.6">
      <c r="A120" s="877"/>
      <c r="B120" s="764"/>
      <c r="C120" s="765"/>
      <c r="D120" s="867"/>
      <c r="E120" s="766"/>
      <c r="F120" s="766"/>
      <c r="G120" s="767"/>
      <c r="I120"/>
    </row>
    <row r="121" spans="1:10" s="554" customFormat="1" ht="15.6">
      <c r="A121" s="877"/>
      <c r="B121" s="764"/>
      <c r="C121" s="765" t="s">
        <v>762</v>
      </c>
      <c r="D121" s="867"/>
      <c r="E121" s="766"/>
      <c r="F121" s="984" t="s">
        <v>766</v>
      </c>
      <c r="G121" s="984"/>
      <c r="H121" s="36"/>
      <c r="I121"/>
    </row>
    <row r="122" spans="1:10" s="554" customFormat="1" ht="15.6">
      <c r="A122" s="877"/>
      <c r="B122" s="764"/>
      <c r="C122" s="765"/>
      <c r="D122" s="867"/>
      <c r="E122" s="766"/>
      <c r="F122" s="768"/>
      <c r="G122" s="768"/>
      <c r="H122" s="718"/>
      <c r="I122"/>
      <c r="J122" s="36"/>
    </row>
    <row r="123" spans="1:10" s="36" customFormat="1" ht="15" hidden="1" customHeight="1">
      <c r="A123" s="993" t="s">
        <v>741</v>
      </c>
      <c r="B123" s="994"/>
      <c r="C123" s="994"/>
      <c r="D123" s="994"/>
      <c r="E123" s="769"/>
      <c r="F123" s="770"/>
      <c r="G123" s="771"/>
      <c r="H123"/>
      <c r="I123"/>
      <c r="J123" s="718"/>
    </row>
    <row r="124" spans="1:10" s="718" customFormat="1" ht="15" hidden="1" customHeight="1">
      <c r="A124" s="752">
        <f>'BANG LUONG 1'!A48</f>
        <v>42</v>
      </c>
      <c r="B124" s="772" t="str">
        <f>'BANG LUONG 1'!B48</f>
        <v>NV42</v>
      </c>
      <c r="C124" s="772" t="str">
        <f>'BANG LUONG 1'!C48</f>
        <v>Ngô Đình Chung</v>
      </c>
      <c r="D124" s="866" t="str">
        <f>'BANG LUONG 1'!D48</f>
        <v>GS Vườn rau</v>
      </c>
      <c r="E124" s="773">
        <v>2000000</v>
      </c>
      <c r="F124" s="774">
        <f>E124</f>
        <v>2000000</v>
      </c>
      <c r="G124" s="536"/>
      <c r="H124"/>
      <c r="I124"/>
      <c r="J124"/>
    </row>
    <row r="125" spans="1:10" ht="15.6" hidden="1">
      <c r="A125" s="752">
        <f>'BANG LUONG 1'!A49</f>
        <v>43</v>
      </c>
      <c r="B125" s="772" t="str">
        <f>'BANG LUONG 1'!B49</f>
        <v>NV43</v>
      </c>
      <c r="C125" s="772" t="str">
        <f>'BANG LUONG 1'!C49</f>
        <v>Triệu Minh Tuấn</v>
      </c>
      <c r="D125" s="866" t="str">
        <f>'BANG LUONG 1'!D49</f>
        <v xml:space="preserve">Công nhân </v>
      </c>
      <c r="E125" s="773">
        <v>3000000</v>
      </c>
      <c r="F125" s="774">
        <f t="shared" ref="F125:F126" si="10">E125</f>
        <v>3000000</v>
      </c>
      <c r="G125" s="423"/>
      <c r="H125" s="36"/>
    </row>
    <row r="126" spans="1:10" ht="15.6" hidden="1">
      <c r="A126" s="752">
        <f>'BANG LUONG 1'!A50</f>
        <v>44</v>
      </c>
      <c r="B126" s="772" t="str">
        <f>'BANG LUONG 1'!B50</f>
        <v>NV44</v>
      </c>
      <c r="C126" s="772" t="str">
        <f>'BANG LUONG 1'!C50</f>
        <v>Kim Em</v>
      </c>
      <c r="D126" s="866" t="str">
        <f>'BANG LUONG 1'!D50</f>
        <v xml:space="preserve">Công nhân </v>
      </c>
      <c r="E126" s="773">
        <v>3000000</v>
      </c>
      <c r="F126" s="774">
        <f t="shared" si="10"/>
        <v>3000000</v>
      </c>
      <c r="G126" s="423"/>
    </row>
    <row r="127" spans="1:10" ht="21.75" hidden="1" customHeight="1">
      <c r="A127" s="752">
        <f>'BANG LUONG 1'!A51</f>
        <v>0</v>
      </c>
      <c r="B127" s="772" t="str">
        <f>'BANG LUONG 1'!B51</f>
        <v>NV48</v>
      </c>
      <c r="C127" s="772" t="str">
        <f>'BANG LUONG 1'!C51</f>
        <v>Danh Ngòi</v>
      </c>
      <c r="D127" s="893" t="str">
        <f>'BANG LUONG 1'!D51</f>
        <v>Công nhân</v>
      </c>
      <c r="E127" s="760">
        <v>0</v>
      </c>
      <c r="F127" s="757">
        <f>E127</f>
        <v>0</v>
      </c>
      <c r="G127" s="749"/>
      <c r="H127" s="36"/>
      <c r="J127" s="36"/>
    </row>
    <row r="128" spans="1:10" ht="21.75" hidden="1" customHeight="1">
      <c r="A128" s="927"/>
      <c r="B128" s="928"/>
      <c r="C128" s="928" t="s">
        <v>899</v>
      </c>
      <c r="D128" s="929" t="s">
        <v>777</v>
      </c>
      <c r="E128" s="930">
        <v>3000000</v>
      </c>
      <c r="F128" s="757">
        <f>E128</f>
        <v>3000000</v>
      </c>
      <c r="G128" s="931"/>
      <c r="H128" s="36"/>
      <c r="J128" s="36"/>
    </row>
    <row r="129" spans="1:11" s="36" customFormat="1" ht="15.6" hidden="1">
      <c r="A129" s="990" t="s">
        <v>554</v>
      </c>
      <c r="B129" s="991"/>
      <c r="C129" s="991"/>
      <c r="D129" s="992"/>
      <c r="E129" s="775"/>
      <c r="F129" s="776">
        <f>SUM(F124:F126)</f>
        <v>8000000</v>
      </c>
      <c r="G129" s="777"/>
      <c r="I129"/>
    </row>
    <row r="130" spans="1:11" s="36" customFormat="1" ht="15.6" hidden="1">
      <c r="A130" s="989" t="s">
        <v>750</v>
      </c>
      <c r="B130" s="989"/>
      <c r="C130" s="989"/>
      <c r="D130" s="868"/>
      <c r="E130" s="779"/>
      <c r="F130" s="989" t="s">
        <v>564</v>
      </c>
      <c r="G130" s="989"/>
      <c r="I130"/>
    </row>
    <row r="131" spans="1:11" s="36" customFormat="1" ht="15.6" hidden="1">
      <c r="A131" s="868"/>
      <c r="B131" s="778"/>
      <c r="C131" s="778"/>
      <c r="D131" s="868"/>
      <c r="E131" s="779"/>
      <c r="F131" s="778"/>
      <c r="G131" s="778"/>
      <c r="I131"/>
    </row>
    <row r="132" spans="1:11" s="36" customFormat="1" ht="15.6">
      <c r="A132" s="868"/>
      <c r="B132" s="778"/>
      <c r="C132" s="778"/>
      <c r="D132" s="868"/>
      <c r="E132" s="779"/>
      <c r="F132" s="778"/>
      <c r="G132" s="778"/>
      <c r="H132"/>
      <c r="I132"/>
    </row>
    <row r="133" spans="1:11" s="36" customFormat="1" ht="31.5" hidden="1" customHeight="1">
      <c r="A133" s="868"/>
      <c r="B133" s="995"/>
      <c r="C133" s="995"/>
      <c r="D133" s="868"/>
      <c r="E133" s="779"/>
      <c r="F133" s="778"/>
      <c r="G133" s="778"/>
      <c r="H133"/>
      <c r="I133"/>
      <c r="J133"/>
    </row>
    <row r="134" spans="1:11" ht="15.6" hidden="1">
      <c r="A134" s="986" t="s">
        <v>554</v>
      </c>
      <c r="B134" s="987"/>
      <c r="C134" s="987"/>
      <c r="D134" s="988"/>
      <c r="E134" s="780"/>
      <c r="F134" s="537">
        <f>F129+F114</f>
        <v>328500000</v>
      </c>
      <c r="G134" s="423"/>
      <c r="K134" s="36"/>
    </row>
    <row r="135" spans="1:11" hidden="1">
      <c r="K135" s="36"/>
    </row>
    <row r="136" spans="1:11">
      <c r="K136" s="36"/>
    </row>
    <row r="137" spans="1:11">
      <c r="K137" s="36"/>
    </row>
    <row r="138" spans="1:11">
      <c r="K138" s="36"/>
    </row>
    <row r="139" spans="1:11">
      <c r="K139" s="36"/>
    </row>
  </sheetData>
  <mergeCells count="10">
    <mergeCell ref="A1:G1"/>
    <mergeCell ref="A114:D114"/>
    <mergeCell ref="F121:G121"/>
    <mergeCell ref="F116:G116"/>
    <mergeCell ref="A134:D134"/>
    <mergeCell ref="A130:C130"/>
    <mergeCell ref="F130:G130"/>
    <mergeCell ref="A129:D129"/>
    <mergeCell ref="A123:D123"/>
    <mergeCell ref="B133:C133"/>
  </mergeCells>
  <pageMargins left="0.25" right="0" top="1.4173228346456701" bottom="0.43307086614173201" header="3.9370078740157501E-2" footer="0.23622047244094499"/>
  <pageSetup paperSize="9" scale="85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23"/>
  <sheetViews>
    <sheetView workbookViewId="0">
      <selection activeCell="R40" sqref="R40"/>
    </sheetView>
  </sheetViews>
  <sheetFormatPr defaultRowHeight="14.4"/>
  <cols>
    <col min="1" max="1" width="35.109375" customWidth="1"/>
    <col min="2" max="2" width="6.88671875" style="30" hidden="1" customWidth="1"/>
    <col min="3" max="3" width="14.6640625" style="30" hidden="1" customWidth="1"/>
    <col min="4" max="4" width="12.5546875" style="30" bestFit="1" customWidth="1"/>
    <col min="5" max="5" width="14.6640625" style="30" hidden="1" customWidth="1"/>
    <col min="6" max="6" width="12.5546875" style="30" bestFit="1" customWidth="1"/>
    <col min="7" max="7" width="14.6640625" style="30" hidden="1" customWidth="1"/>
    <col min="8" max="8" width="12.5546875" style="30" bestFit="1" customWidth="1"/>
    <col min="9" max="9" width="12.5546875" style="30" hidden="1" customWidth="1"/>
    <col min="10" max="10" width="14.6640625" style="30" customWidth="1"/>
    <col min="11" max="11" width="14.6640625" style="30" hidden="1" customWidth="1"/>
    <col min="12" max="12" width="12.5546875" style="30" bestFit="1" customWidth="1"/>
    <col min="13" max="13" width="14.6640625" style="30" hidden="1" customWidth="1"/>
    <col min="14" max="14" width="12.5546875" style="30" bestFit="1" customWidth="1"/>
    <col min="15" max="15" width="14.6640625" style="30" hidden="1" customWidth="1"/>
    <col min="16" max="16" width="12.5546875" style="30" bestFit="1" customWidth="1"/>
    <col min="17" max="17" width="14.6640625" style="30" hidden="1" customWidth="1"/>
    <col min="18" max="18" width="12.5546875" style="30" bestFit="1" customWidth="1"/>
    <col min="19" max="19" width="10.109375" hidden="1" customWidth="1"/>
    <col min="20" max="20" width="12.5546875" bestFit="1" customWidth="1"/>
    <col min="21" max="21" width="10.109375" hidden="1" customWidth="1"/>
    <col min="22" max="22" width="12.5546875" bestFit="1" customWidth="1"/>
    <col min="23" max="23" width="12.6640625" style="119" bestFit="1" customWidth="1"/>
  </cols>
  <sheetData>
    <row r="1" spans="1:23">
      <c r="C1" s="30" t="s">
        <v>511</v>
      </c>
      <c r="D1" s="30" t="s">
        <v>511</v>
      </c>
      <c r="E1" s="30" t="s">
        <v>512</v>
      </c>
      <c r="F1" s="30" t="s">
        <v>512</v>
      </c>
      <c r="G1" s="30" t="s">
        <v>513</v>
      </c>
      <c r="H1" s="30" t="s">
        <v>513</v>
      </c>
      <c r="I1" s="30" t="s">
        <v>514</v>
      </c>
      <c r="J1" s="30" t="s">
        <v>514</v>
      </c>
      <c r="K1" s="30" t="s">
        <v>510</v>
      </c>
      <c r="L1" s="30" t="s">
        <v>510</v>
      </c>
      <c r="M1" s="30" t="s">
        <v>509</v>
      </c>
      <c r="N1" s="30" t="s">
        <v>509</v>
      </c>
      <c r="O1" s="30" t="s">
        <v>508</v>
      </c>
      <c r="P1" s="30" t="s">
        <v>508</v>
      </c>
      <c r="Q1" s="30" t="s">
        <v>507</v>
      </c>
      <c r="R1" s="30" t="s">
        <v>507</v>
      </c>
      <c r="S1" s="157" t="s">
        <v>399</v>
      </c>
      <c r="T1" s="157" t="s">
        <v>399</v>
      </c>
      <c r="U1" s="157" t="s">
        <v>400</v>
      </c>
      <c r="V1" s="157" t="s">
        <v>400</v>
      </c>
    </row>
    <row r="2" spans="1:23">
      <c r="A2" t="s">
        <v>323</v>
      </c>
      <c r="B2" s="121">
        <f>1000/3</f>
        <v>333.33333333333331</v>
      </c>
      <c r="C2" s="30">
        <f>10250+260</f>
        <v>10510</v>
      </c>
      <c r="D2" s="30">
        <f>C2/B2</f>
        <v>31.53</v>
      </c>
      <c r="E2" s="30">
        <v>5850</v>
      </c>
      <c r="F2" s="30">
        <f>E2/B2</f>
        <v>17.55</v>
      </c>
      <c r="G2" s="30">
        <v>11030</v>
      </c>
      <c r="H2" s="30">
        <f>G2/B2</f>
        <v>33.090000000000003</v>
      </c>
      <c r="I2" s="30">
        <v>10698</v>
      </c>
      <c r="J2" s="30">
        <f>I2/B2</f>
        <v>32.094000000000001</v>
      </c>
      <c r="K2" s="30">
        <v>5070</v>
      </c>
      <c r="L2" s="30">
        <f>K2/B2</f>
        <v>15.21</v>
      </c>
      <c r="M2" s="30">
        <v>2320</v>
      </c>
      <c r="N2" s="30">
        <f>M2/B2</f>
        <v>6.96</v>
      </c>
      <c r="O2" s="30">
        <v>4170</v>
      </c>
      <c r="P2" s="30">
        <f>O2/B2</f>
        <v>12.510000000000002</v>
      </c>
      <c r="Q2" s="30">
        <v>4104</v>
      </c>
      <c r="R2" s="30">
        <f>Q2/B2</f>
        <v>12.312000000000001</v>
      </c>
      <c r="S2" s="119">
        <v>4021</v>
      </c>
      <c r="T2">
        <f>S2/B2</f>
        <v>12.063000000000001</v>
      </c>
      <c r="U2" s="118">
        <f>SUM('Công tổng'!V6:V10)</f>
        <v>0</v>
      </c>
      <c r="V2" s="74">
        <f>U2/B2</f>
        <v>0</v>
      </c>
    </row>
    <row r="3" spans="1:23">
      <c r="A3" t="s">
        <v>324</v>
      </c>
      <c r="B3">
        <f>1000/5</f>
        <v>200</v>
      </c>
      <c r="C3" s="30">
        <v>24760</v>
      </c>
      <c r="D3" s="30">
        <f t="shared" ref="D3:D16" si="0">C3/B3</f>
        <v>123.8</v>
      </c>
      <c r="E3" s="30">
        <v>12540</v>
      </c>
      <c r="F3" s="30">
        <f t="shared" ref="F3:F16" si="1">E3/B3</f>
        <v>62.7</v>
      </c>
      <c r="G3" s="30">
        <v>24660</v>
      </c>
      <c r="H3" s="30">
        <f t="shared" ref="H3:H16" si="2">G3/B3</f>
        <v>123.3</v>
      </c>
      <c r="I3" s="30">
        <v>17237</v>
      </c>
      <c r="J3" s="30">
        <f t="shared" ref="J3:J16" si="3">I3/B3</f>
        <v>86.185000000000002</v>
      </c>
      <c r="K3" s="30">
        <v>16332</v>
      </c>
      <c r="L3" s="30">
        <f t="shared" ref="L3:L16" si="4">K3/B3</f>
        <v>81.66</v>
      </c>
      <c r="M3" s="30">
        <v>8671</v>
      </c>
      <c r="N3" s="30">
        <f t="shared" ref="N3:N16" si="5">M3/B3</f>
        <v>43.354999999999997</v>
      </c>
      <c r="O3" s="30">
        <v>9409</v>
      </c>
      <c r="P3" s="30">
        <f t="shared" ref="P3:P16" si="6">O3/B3</f>
        <v>47.045000000000002</v>
      </c>
      <c r="Q3" s="30">
        <v>17657</v>
      </c>
      <c r="R3" s="30">
        <f t="shared" ref="R3:R16" si="7">Q3/B3</f>
        <v>88.284999999999997</v>
      </c>
      <c r="S3" s="119">
        <v>14155</v>
      </c>
      <c r="T3">
        <f t="shared" ref="T3:T16" si="8">S3/B3</f>
        <v>70.775000000000006</v>
      </c>
      <c r="U3" s="118">
        <f>SUM('Công tổng'!W6:W10)</f>
        <v>0</v>
      </c>
      <c r="V3" s="74">
        <f t="shared" ref="V3:V16" si="9">U3/B3</f>
        <v>0</v>
      </c>
    </row>
    <row r="4" spans="1:23" ht="15" customHeight="1">
      <c r="A4" t="s">
        <v>325</v>
      </c>
      <c r="B4">
        <f>1000/10</f>
        <v>100</v>
      </c>
      <c r="C4" s="30">
        <v>9680</v>
      </c>
      <c r="D4" s="30">
        <f t="shared" si="0"/>
        <v>96.8</v>
      </c>
      <c r="E4" s="30">
        <v>5750</v>
      </c>
      <c r="F4" s="30">
        <f t="shared" si="1"/>
        <v>57.5</v>
      </c>
      <c r="G4" s="30">
        <v>15075</v>
      </c>
      <c r="H4" s="30">
        <f t="shared" si="2"/>
        <v>150.75</v>
      </c>
      <c r="I4" s="30">
        <v>7000</v>
      </c>
      <c r="J4" s="30">
        <f t="shared" si="3"/>
        <v>70</v>
      </c>
      <c r="K4" s="30">
        <v>6380</v>
      </c>
      <c r="L4" s="30">
        <f t="shared" si="4"/>
        <v>63.8</v>
      </c>
      <c r="M4" s="30">
        <v>2970</v>
      </c>
      <c r="N4" s="30">
        <f t="shared" si="5"/>
        <v>29.7</v>
      </c>
      <c r="O4" s="30">
        <v>3660</v>
      </c>
      <c r="P4" s="30">
        <f t="shared" si="6"/>
        <v>36.6</v>
      </c>
      <c r="Q4" s="30">
        <v>7261</v>
      </c>
      <c r="R4" s="30">
        <f t="shared" si="7"/>
        <v>72.61</v>
      </c>
      <c r="S4" s="119">
        <v>4719</v>
      </c>
      <c r="T4">
        <f t="shared" si="8"/>
        <v>47.19</v>
      </c>
      <c r="U4" s="118">
        <f>SUM('Công tổng'!X6:X10)</f>
        <v>0</v>
      </c>
      <c r="V4" s="74">
        <f t="shared" si="9"/>
        <v>0</v>
      </c>
      <c r="W4" s="120"/>
    </row>
    <row r="5" spans="1:23">
      <c r="A5" t="s">
        <v>326</v>
      </c>
      <c r="B5">
        <f>1000/20</f>
        <v>50</v>
      </c>
      <c r="C5" s="30">
        <v>53580</v>
      </c>
      <c r="D5" s="30">
        <f t="shared" si="0"/>
        <v>1071.5999999999999</v>
      </c>
      <c r="E5" s="30">
        <v>40670</v>
      </c>
      <c r="F5" s="30">
        <f t="shared" si="1"/>
        <v>813.4</v>
      </c>
      <c r="G5" s="30">
        <v>71399</v>
      </c>
      <c r="H5" s="30">
        <f t="shared" si="2"/>
        <v>1427.98</v>
      </c>
      <c r="I5" s="30">
        <v>33770</v>
      </c>
      <c r="J5" s="30">
        <f t="shared" si="3"/>
        <v>675.4</v>
      </c>
      <c r="K5" s="30">
        <f>32830+5150</f>
        <v>37980</v>
      </c>
      <c r="L5" s="30">
        <f t="shared" si="4"/>
        <v>759.6</v>
      </c>
      <c r="M5" s="30">
        <f>23980+1867</f>
        <v>25847</v>
      </c>
      <c r="N5" s="30">
        <f t="shared" si="5"/>
        <v>516.94000000000005</v>
      </c>
      <c r="O5" s="30">
        <v>36840</v>
      </c>
      <c r="P5" s="30">
        <f t="shared" si="6"/>
        <v>736.8</v>
      </c>
      <c r="Q5" s="30">
        <v>33800</v>
      </c>
      <c r="R5" s="30">
        <f t="shared" si="7"/>
        <v>676</v>
      </c>
      <c r="S5" s="119">
        <v>35188</v>
      </c>
      <c r="T5">
        <f t="shared" si="8"/>
        <v>703.76</v>
      </c>
      <c r="U5" s="118">
        <f>SUM('Công tổng'!Y6:Y10)</f>
        <v>0</v>
      </c>
      <c r="V5" s="74">
        <f t="shared" si="9"/>
        <v>0</v>
      </c>
      <c r="W5" s="120"/>
    </row>
    <row r="6" spans="1:23">
      <c r="A6" t="s">
        <v>327</v>
      </c>
      <c r="B6">
        <f>1000/40</f>
        <v>25</v>
      </c>
      <c r="C6" s="30">
        <f>1363+13*25</f>
        <v>1688</v>
      </c>
      <c r="D6" s="30">
        <f t="shared" si="0"/>
        <v>67.52</v>
      </c>
      <c r="E6" s="30">
        <f>900+23*25</f>
        <v>1475</v>
      </c>
      <c r="F6" s="30">
        <f t="shared" si="1"/>
        <v>59</v>
      </c>
      <c r="G6" s="30">
        <f>2050+11*25</f>
        <v>2325</v>
      </c>
      <c r="H6" s="30">
        <f t="shared" si="2"/>
        <v>93</v>
      </c>
      <c r="I6" s="30">
        <f>390+10*25</f>
        <v>640</v>
      </c>
      <c r="J6" s="30">
        <f t="shared" si="3"/>
        <v>25.6</v>
      </c>
      <c r="K6" s="158"/>
      <c r="L6" s="30">
        <f t="shared" si="4"/>
        <v>0</v>
      </c>
      <c r="M6" s="30">
        <f>1450+2.5*25</f>
        <v>1512.5</v>
      </c>
      <c r="N6" s="30">
        <f t="shared" si="5"/>
        <v>60.5</v>
      </c>
      <c r="O6" s="30">
        <f>4190+125</f>
        <v>4315</v>
      </c>
      <c r="P6" s="30">
        <f t="shared" si="6"/>
        <v>172.6</v>
      </c>
      <c r="Q6" s="30">
        <v>3780</v>
      </c>
      <c r="R6" s="30">
        <f t="shared" si="7"/>
        <v>151.19999999999999</v>
      </c>
      <c r="S6" s="119">
        <f>2300+8*25</f>
        <v>2500</v>
      </c>
      <c r="T6">
        <f t="shared" si="8"/>
        <v>100</v>
      </c>
      <c r="U6" s="118">
        <f>SUM('Công tổng'!Z6:Z10)</f>
        <v>0</v>
      </c>
      <c r="V6" s="74">
        <f t="shared" si="9"/>
        <v>0</v>
      </c>
      <c r="W6" s="120"/>
    </row>
    <row r="7" spans="1:23">
      <c r="A7" t="s">
        <v>328</v>
      </c>
      <c r="B7">
        <f>1000/50</f>
        <v>20</v>
      </c>
      <c r="C7" s="30">
        <v>32210</v>
      </c>
      <c r="D7" s="30">
        <f t="shared" si="0"/>
        <v>1610.5</v>
      </c>
      <c r="E7" s="30">
        <v>24950</v>
      </c>
      <c r="F7" s="30">
        <f t="shared" si="1"/>
        <v>1247.5</v>
      </c>
      <c r="G7" s="30">
        <v>34730</v>
      </c>
      <c r="H7" s="30">
        <f t="shared" si="2"/>
        <v>1736.5</v>
      </c>
      <c r="I7" s="30">
        <v>20650</v>
      </c>
      <c r="J7" s="30">
        <f t="shared" si="3"/>
        <v>1032.5</v>
      </c>
      <c r="K7" s="30">
        <v>20400</v>
      </c>
      <c r="L7" s="30">
        <f t="shared" si="4"/>
        <v>1020</v>
      </c>
      <c r="M7" s="30">
        <v>12150</v>
      </c>
      <c r="N7" s="30">
        <f t="shared" si="5"/>
        <v>607.5</v>
      </c>
      <c r="O7" s="30">
        <v>19028</v>
      </c>
      <c r="P7" s="30">
        <f t="shared" si="6"/>
        <v>951.4</v>
      </c>
      <c r="Q7" s="30">
        <v>21500</v>
      </c>
      <c r="R7" s="30">
        <f t="shared" si="7"/>
        <v>1075</v>
      </c>
      <c r="S7" s="119">
        <v>16800</v>
      </c>
      <c r="T7">
        <f t="shared" si="8"/>
        <v>840</v>
      </c>
      <c r="U7" s="118">
        <f>SUM('Công tổng'!AA6:AA10)</f>
        <v>0</v>
      </c>
      <c r="V7" s="74">
        <f t="shared" si="9"/>
        <v>0</v>
      </c>
      <c r="W7" s="120"/>
    </row>
    <row r="8" spans="1:23">
      <c r="A8" t="s">
        <v>329</v>
      </c>
      <c r="B8">
        <f>1000/100</f>
        <v>10</v>
      </c>
      <c r="D8" s="30">
        <f t="shared" si="0"/>
        <v>0</v>
      </c>
      <c r="F8" s="30">
        <f t="shared" si="1"/>
        <v>0</v>
      </c>
      <c r="H8" s="30">
        <f t="shared" si="2"/>
        <v>0</v>
      </c>
      <c r="J8" s="30">
        <f t="shared" si="3"/>
        <v>0</v>
      </c>
      <c r="L8" s="30">
        <f t="shared" si="4"/>
        <v>0</v>
      </c>
      <c r="N8" s="30">
        <f t="shared" si="5"/>
        <v>0</v>
      </c>
      <c r="P8" s="30">
        <f t="shared" si="6"/>
        <v>0</v>
      </c>
      <c r="R8" s="30">
        <f t="shared" si="7"/>
        <v>0</v>
      </c>
      <c r="T8">
        <f t="shared" si="8"/>
        <v>0</v>
      </c>
      <c r="U8">
        <f>SUM('Công tổng'!AB6:AB10)</f>
        <v>0</v>
      </c>
      <c r="V8" s="74">
        <f t="shared" si="9"/>
        <v>0</v>
      </c>
    </row>
    <row r="9" spans="1:23">
      <c r="A9" t="s">
        <v>330</v>
      </c>
      <c r="B9">
        <f>1000/0.2</f>
        <v>5000</v>
      </c>
      <c r="C9" s="30">
        <v>1680</v>
      </c>
      <c r="D9" s="30">
        <f t="shared" si="0"/>
        <v>0.33600000000000002</v>
      </c>
      <c r="E9" s="30">
        <v>1440</v>
      </c>
      <c r="F9" s="30">
        <f t="shared" si="1"/>
        <v>0.28799999999999998</v>
      </c>
      <c r="G9" s="30">
        <v>480</v>
      </c>
      <c r="H9" s="30">
        <f t="shared" si="2"/>
        <v>9.6000000000000002E-2</v>
      </c>
      <c r="J9" s="30">
        <f t="shared" si="3"/>
        <v>0</v>
      </c>
      <c r="L9" s="30">
        <f t="shared" si="4"/>
        <v>0</v>
      </c>
      <c r="N9" s="30">
        <f t="shared" si="5"/>
        <v>0</v>
      </c>
      <c r="P9" s="30">
        <f t="shared" si="6"/>
        <v>0</v>
      </c>
      <c r="Q9" s="30">
        <v>2000</v>
      </c>
      <c r="R9" s="30">
        <f t="shared" si="7"/>
        <v>0.4</v>
      </c>
      <c r="T9">
        <f t="shared" si="8"/>
        <v>0</v>
      </c>
      <c r="U9">
        <f>SUM('Công tổng'!AC6:AC10)</f>
        <v>0</v>
      </c>
      <c r="V9" s="74">
        <f t="shared" si="9"/>
        <v>0</v>
      </c>
      <c r="W9" s="120"/>
    </row>
    <row r="10" spans="1:23">
      <c r="A10" t="s">
        <v>331</v>
      </c>
      <c r="B10">
        <f>1000/0.5</f>
        <v>2000</v>
      </c>
      <c r="C10" s="30">
        <v>9300</v>
      </c>
      <c r="D10" s="30">
        <f t="shared" si="0"/>
        <v>4.6500000000000004</v>
      </c>
      <c r="E10" s="30">
        <v>6300</v>
      </c>
      <c r="F10" s="30">
        <f t="shared" si="1"/>
        <v>3.15</v>
      </c>
      <c r="G10" s="30">
        <v>18450</v>
      </c>
      <c r="H10" s="30">
        <f t="shared" si="2"/>
        <v>9.2249999999999996</v>
      </c>
      <c r="I10" s="30">
        <v>5615</v>
      </c>
      <c r="J10" s="30">
        <f t="shared" si="3"/>
        <v>2.8075000000000001</v>
      </c>
      <c r="K10" s="30">
        <v>7100</v>
      </c>
      <c r="L10" s="30">
        <f t="shared" si="4"/>
        <v>3.55</v>
      </c>
      <c r="M10" s="30">
        <v>7778</v>
      </c>
      <c r="N10" s="30">
        <f t="shared" si="5"/>
        <v>3.8889999999999998</v>
      </c>
      <c r="O10" s="30">
        <v>11050</v>
      </c>
      <c r="P10" s="30">
        <f t="shared" si="6"/>
        <v>5.5250000000000004</v>
      </c>
      <c r="Q10" s="30">
        <v>9661</v>
      </c>
      <c r="R10" s="30">
        <f t="shared" si="7"/>
        <v>4.8304999999999998</v>
      </c>
      <c r="S10" s="119">
        <v>11256</v>
      </c>
      <c r="T10">
        <f t="shared" si="8"/>
        <v>5.6280000000000001</v>
      </c>
      <c r="U10" s="119">
        <f>SUM('Công tổng'!AD6:AD10)</f>
        <v>0</v>
      </c>
      <c r="V10" s="74">
        <f t="shared" si="9"/>
        <v>0</v>
      </c>
      <c r="W10" s="120"/>
    </row>
    <row r="11" spans="1:23">
      <c r="A11" t="s">
        <v>332</v>
      </c>
      <c r="B11">
        <f>1000/1</f>
        <v>1000</v>
      </c>
      <c r="C11" s="30">
        <v>5115</v>
      </c>
      <c r="D11" s="30">
        <f t="shared" si="0"/>
        <v>5.1150000000000002</v>
      </c>
      <c r="E11" s="30">
        <v>2755</v>
      </c>
      <c r="F11" s="30">
        <f t="shared" si="1"/>
        <v>2.7549999999999999</v>
      </c>
      <c r="G11" s="30">
        <v>16260</v>
      </c>
      <c r="H11" s="30">
        <f t="shared" si="2"/>
        <v>16.260000000000002</v>
      </c>
      <c r="I11" s="30">
        <v>2508</v>
      </c>
      <c r="J11" s="30">
        <f t="shared" si="3"/>
        <v>2.508</v>
      </c>
      <c r="K11" s="30">
        <v>2365</v>
      </c>
      <c r="L11" s="30">
        <f t="shared" si="4"/>
        <v>2.3650000000000002</v>
      </c>
      <c r="M11" s="30">
        <v>1650</v>
      </c>
      <c r="N11" s="30">
        <f t="shared" si="5"/>
        <v>1.65</v>
      </c>
      <c r="O11" s="30">
        <v>545</v>
      </c>
      <c r="P11" s="30">
        <f t="shared" si="6"/>
        <v>0.54500000000000004</v>
      </c>
      <c r="Q11" s="30">
        <v>751</v>
      </c>
      <c r="R11" s="30">
        <f t="shared" si="7"/>
        <v>0.751</v>
      </c>
      <c r="S11" s="119">
        <v>420</v>
      </c>
      <c r="T11">
        <f t="shared" si="8"/>
        <v>0.42</v>
      </c>
      <c r="U11" s="119">
        <f>SUM('Công tổng'!AE6:AE10)</f>
        <v>0</v>
      </c>
      <c r="V11" s="74">
        <f t="shared" si="9"/>
        <v>0</v>
      </c>
      <c r="W11" s="120"/>
    </row>
    <row r="12" spans="1:23">
      <c r="A12" t="s">
        <v>333</v>
      </c>
      <c r="B12">
        <f>1000/10</f>
        <v>100</v>
      </c>
      <c r="C12" s="30">
        <v>836</v>
      </c>
      <c r="D12" s="30">
        <f t="shared" si="0"/>
        <v>8.36</v>
      </c>
      <c r="E12" s="30">
        <f>9719/10</f>
        <v>971.9</v>
      </c>
      <c r="F12" s="30">
        <f t="shared" si="1"/>
        <v>9.7189999999999994</v>
      </c>
      <c r="G12" s="30">
        <v>300</v>
      </c>
      <c r="H12" s="30">
        <f t="shared" si="2"/>
        <v>3</v>
      </c>
      <c r="I12" s="30">
        <v>605</v>
      </c>
      <c r="J12" s="30">
        <f t="shared" si="3"/>
        <v>6.05</v>
      </c>
      <c r="L12" s="30">
        <f t="shared" si="4"/>
        <v>0</v>
      </c>
      <c r="M12" s="30">
        <f>7000/10</f>
        <v>700</v>
      </c>
      <c r="N12" s="30">
        <f t="shared" si="5"/>
        <v>7</v>
      </c>
      <c r="P12" s="30">
        <f t="shared" si="6"/>
        <v>0</v>
      </c>
      <c r="Q12" s="30">
        <v>250</v>
      </c>
      <c r="R12" s="30">
        <f t="shared" si="7"/>
        <v>2.5</v>
      </c>
      <c r="S12">
        <v>200</v>
      </c>
      <c r="T12">
        <f t="shared" si="8"/>
        <v>2</v>
      </c>
      <c r="U12">
        <f>SUM('Công tổng'!AF6:AF10)</f>
        <v>0</v>
      </c>
      <c r="V12" s="74">
        <f t="shared" si="9"/>
        <v>0</v>
      </c>
    </row>
    <row r="13" spans="1:23">
      <c r="A13" t="s">
        <v>334</v>
      </c>
      <c r="B13">
        <f>1000/25</f>
        <v>40</v>
      </c>
      <c r="D13" s="30">
        <f t="shared" si="0"/>
        <v>0</v>
      </c>
      <c r="F13" s="30">
        <f t="shared" si="1"/>
        <v>0</v>
      </c>
      <c r="H13" s="30">
        <f t="shared" si="2"/>
        <v>0</v>
      </c>
      <c r="J13" s="30">
        <f t="shared" si="3"/>
        <v>0</v>
      </c>
      <c r="L13" s="30">
        <f t="shared" si="4"/>
        <v>0</v>
      </c>
      <c r="M13" s="30">
        <v>92</v>
      </c>
      <c r="N13" s="30">
        <f t="shared" si="5"/>
        <v>2.2999999999999998</v>
      </c>
      <c r="P13" s="30">
        <f t="shared" si="6"/>
        <v>0</v>
      </c>
      <c r="Q13" s="30">
        <v>2</v>
      </c>
      <c r="R13" s="30">
        <f t="shared" si="7"/>
        <v>0.05</v>
      </c>
      <c r="S13">
        <v>39</v>
      </c>
      <c r="T13">
        <f t="shared" si="8"/>
        <v>0.97499999999999998</v>
      </c>
      <c r="U13">
        <f>SUM('Công tổng'!AG6:AG10)</f>
        <v>0</v>
      </c>
      <c r="V13" s="74">
        <f t="shared" si="9"/>
        <v>0</v>
      </c>
      <c r="W13" s="120"/>
    </row>
    <row r="14" spans="1:23">
      <c r="A14" t="s">
        <v>335</v>
      </c>
      <c r="B14" s="121">
        <f>1000/35</f>
        <v>28.571428571428573</v>
      </c>
      <c r="D14" s="30">
        <f t="shared" si="0"/>
        <v>0</v>
      </c>
      <c r="F14" s="30">
        <f t="shared" si="1"/>
        <v>0</v>
      </c>
      <c r="H14" s="30">
        <f t="shared" si="2"/>
        <v>0</v>
      </c>
      <c r="I14" s="30">
        <v>2000</v>
      </c>
      <c r="J14" s="30">
        <f t="shared" si="3"/>
        <v>70</v>
      </c>
      <c r="K14" s="30">
        <v>5000</v>
      </c>
      <c r="L14" s="30">
        <f t="shared" si="4"/>
        <v>175</v>
      </c>
      <c r="M14" s="30">
        <v>2185</v>
      </c>
      <c r="N14" s="30">
        <f t="shared" si="5"/>
        <v>76.474999999999994</v>
      </c>
      <c r="O14" s="30">
        <v>7850</v>
      </c>
      <c r="P14" s="30">
        <f t="shared" si="6"/>
        <v>274.75</v>
      </c>
      <c r="Q14" s="30">
        <v>1951</v>
      </c>
      <c r="R14" s="30">
        <f t="shared" si="7"/>
        <v>68.284999999999997</v>
      </c>
      <c r="S14" s="119">
        <v>82</v>
      </c>
      <c r="T14">
        <f t="shared" si="8"/>
        <v>2.8699999999999997</v>
      </c>
      <c r="U14" s="119">
        <f>SUM('Công tổng'!AH6:AH10)</f>
        <v>0</v>
      </c>
      <c r="V14" s="74">
        <f t="shared" si="9"/>
        <v>0</v>
      </c>
      <c r="W14" s="120"/>
    </row>
    <row r="15" spans="1:23">
      <c r="A15" t="s">
        <v>336</v>
      </c>
      <c r="B15">
        <f>1000/40</f>
        <v>25</v>
      </c>
      <c r="C15" s="30">
        <v>882</v>
      </c>
      <c r="D15" s="30">
        <f t="shared" si="0"/>
        <v>35.28</v>
      </c>
      <c r="E15" s="30">
        <v>1080</v>
      </c>
      <c r="F15" s="30">
        <f t="shared" si="1"/>
        <v>43.2</v>
      </c>
      <c r="H15" s="30">
        <f t="shared" si="2"/>
        <v>0</v>
      </c>
      <c r="I15" s="30">
        <v>450</v>
      </c>
      <c r="J15" s="30">
        <f t="shared" si="3"/>
        <v>18</v>
      </c>
      <c r="K15" s="30">
        <v>200</v>
      </c>
      <c r="L15" s="30">
        <f t="shared" si="4"/>
        <v>8</v>
      </c>
      <c r="M15" s="30">
        <v>3495</v>
      </c>
      <c r="N15" s="30">
        <f t="shared" si="5"/>
        <v>139.80000000000001</v>
      </c>
      <c r="P15" s="30">
        <f t="shared" si="6"/>
        <v>0</v>
      </c>
      <c r="R15" s="30">
        <f t="shared" si="7"/>
        <v>0</v>
      </c>
      <c r="S15" s="119">
        <v>660</v>
      </c>
      <c r="T15">
        <f t="shared" si="8"/>
        <v>26.4</v>
      </c>
      <c r="U15" s="119">
        <f>SUM('Công tổng'!AI6:AI10)</f>
        <v>0</v>
      </c>
      <c r="V15" s="74">
        <f t="shared" si="9"/>
        <v>0</v>
      </c>
    </row>
    <row r="16" spans="1:23">
      <c r="A16" t="s">
        <v>337</v>
      </c>
      <c r="B16">
        <f>1000/50</f>
        <v>20</v>
      </c>
      <c r="D16" s="30">
        <f t="shared" si="0"/>
        <v>0</v>
      </c>
      <c r="F16" s="30">
        <f t="shared" si="1"/>
        <v>0</v>
      </c>
      <c r="H16" s="30">
        <f t="shared" si="2"/>
        <v>0</v>
      </c>
      <c r="J16" s="30">
        <f t="shared" si="3"/>
        <v>0</v>
      </c>
      <c r="L16" s="30">
        <f t="shared" si="4"/>
        <v>0</v>
      </c>
      <c r="N16" s="30">
        <f t="shared" si="5"/>
        <v>0</v>
      </c>
      <c r="P16" s="30">
        <f t="shared" si="6"/>
        <v>0</v>
      </c>
      <c r="R16" s="30">
        <f t="shared" si="7"/>
        <v>0</v>
      </c>
      <c r="T16">
        <f t="shared" si="8"/>
        <v>0</v>
      </c>
      <c r="U16">
        <f>SUM('Công tổng'!AJ6:AJ10)</f>
        <v>0</v>
      </c>
      <c r="V16" s="74">
        <f t="shared" si="9"/>
        <v>0</v>
      </c>
    </row>
    <row r="17" spans="1:23">
      <c r="A17" s="67" t="s">
        <v>516</v>
      </c>
      <c r="B17" s="160"/>
      <c r="C17" s="160"/>
      <c r="D17" s="161">
        <f>SUM(D2:D16)</f>
        <v>3055.491</v>
      </c>
      <c r="E17" s="160"/>
      <c r="F17" s="161">
        <f>SUM(F2:F16)</f>
        <v>2316.7620000000002</v>
      </c>
      <c r="G17" s="160"/>
      <c r="H17" s="161">
        <f>SUM(H2:H16)</f>
        <v>3593.201</v>
      </c>
      <c r="I17" s="161">
        <f>SUM(I2:I16)</f>
        <v>101173</v>
      </c>
      <c r="J17" s="161">
        <f>SUM(J2:J16)</f>
        <v>2021.1444999999999</v>
      </c>
      <c r="K17" s="160"/>
      <c r="L17" s="161">
        <f>SUM(L2:L16)</f>
        <v>2129.1849999999999</v>
      </c>
      <c r="M17" s="161"/>
      <c r="N17" s="161">
        <f>SUM(N2:N16)</f>
        <v>1496.0689999999997</v>
      </c>
      <c r="O17" s="161"/>
      <c r="P17" s="161">
        <f>SUM(P2:P16)</f>
        <v>2237.7750000000001</v>
      </c>
      <c r="Q17" s="160"/>
      <c r="R17" s="161">
        <f>SUM(R2:R16)</f>
        <v>2152.2235000000005</v>
      </c>
      <c r="S17" s="67"/>
      <c r="T17" s="161">
        <f>SUM(T2:T16)</f>
        <v>1812.0809999999999</v>
      </c>
      <c r="U17" s="67"/>
      <c r="V17" s="161">
        <f>SUM(V2:V16)</f>
        <v>0</v>
      </c>
      <c r="W17" s="164">
        <f>SUM(D17:V17)/10</f>
        <v>12198.6932</v>
      </c>
    </row>
    <row r="18" spans="1:23">
      <c r="A18" s="67" t="s">
        <v>515</v>
      </c>
      <c r="B18" s="160"/>
      <c r="C18" s="160"/>
      <c r="D18" s="160">
        <v>246360000</v>
      </c>
      <c r="E18" s="160"/>
      <c r="F18" s="160">
        <v>212577000</v>
      </c>
      <c r="G18" s="160"/>
      <c r="H18" s="160">
        <v>254706000</v>
      </c>
      <c r="I18" s="160"/>
      <c r="J18" s="160">
        <v>243656000</v>
      </c>
      <c r="K18" s="160"/>
      <c r="L18" s="160">
        <v>246198000</v>
      </c>
      <c r="M18" s="160"/>
      <c r="N18" s="160">
        <v>227096000</v>
      </c>
      <c r="O18" s="160"/>
      <c r="P18" s="160">
        <v>240846000</v>
      </c>
      <c r="Q18" s="160"/>
      <c r="R18" s="160">
        <v>229558000</v>
      </c>
      <c r="S18" s="160"/>
      <c r="T18" s="161">
        <v>211690000</v>
      </c>
      <c r="U18" s="160"/>
      <c r="V18" s="161">
        <v>231477000</v>
      </c>
      <c r="W18" s="164">
        <f>SUM(D18:V18)/10</f>
        <v>234416400</v>
      </c>
    </row>
    <row r="19" spans="1:23">
      <c r="A19" s="67" t="s">
        <v>517</v>
      </c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67"/>
      <c r="T19" s="67"/>
      <c r="U19" s="67"/>
      <c r="V19" s="160">
        <v>238567650.75758499</v>
      </c>
    </row>
    <row r="20" spans="1:23">
      <c r="A20" s="162" t="s">
        <v>518</v>
      </c>
      <c r="T20" s="30"/>
      <c r="U20" s="30"/>
      <c r="V20" s="30"/>
    </row>
    <row r="21" spans="1:23">
      <c r="A21" s="163" t="s">
        <v>519</v>
      </c>
    </row>
    <row r="22" spans="1:23">
      <c r="A22" s="163" t="s">
        <v>520</v>
      </c>
    </row>
    <row r="23" spans="1:23">
      <c r="A23" s="163" t="s">
        <v>521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AP53"/>
  <sheetViews>
    <sheetView workbookViewId="0">
      <pane ySplit="4" topLeftCell="A5" activePane="bottomLeft" state="frozen"/>
      <selection pane="bottomLeft" activeCell="AI15" sqref="AI15"/>
    </sheetView>
  </sheetViews>
  <sheetFormatPr defaultRowHeight="14.4"/>
  <cols>
    <col min="1" max="1" width="5" bestFit="1" customWidth="1"/>
    <col min="2" max="2" width="7.88671875" customWidth="1"/>
    <col min="3" max="3" width="21" customWidth="1"/>
    <col min="4" max="4" width="11.109375" customWidth="1"/>
    <col min="5" max="11" width="2.88671875" customWidth="1"/>
    <col min="12" max="13" width="3.44140625" customWidth="1"/>
    <col min="14" max="35" width="3" bestFit="1" customWidth="1"/>
    <col min="36" max="36" width="6.6640625" customWidth="1"/>
    <col min="37" max="37" width="5.6640625" customWidth="1"/>
    <col min="38" max="38" width="5.33203125" customWidth="1"/>
    <col min="39" max="42" width="6.109375" style="114" customWidth="1"/>
  </cols>
  <sheetData>
    <row r="1" spans="1:42">
      <c r="A1" s="1"/>
      <c r="B1" s="1"/>
      <c r="C1" s="1"/>
      <c r="D1" s="1"/>
    </row>
    <row r="2" spans="1:42">
      <c r="A2" s="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  <c r="AJ2" s="1">
        <v>34</v>
      </c>
      <c r="AK2" s="1">
        <v>35</v>
      </c>
      <c r="AL2" s="1">
        <v>36</v>
      </c>
      <c r="AM2" s="1">
        <v>37</v>
      </c>
      <c r="AN2" s="1">
        <v>38</v>
      </c>
      <c r="AO2" s="1">
        <v>39</v>
      </c>
      <c r="AP2" s="1">
        <v>40</v>
      </c>
    </row>
    <row r="3" spans="1:42" ht="15" customHeight="1">
      <c r="A3" s="101"/>
      <c r="B3" s="101"/>
      <c r="C3" s="101"/>
      <c r="D3" s="101"/>
      <c r="E3" s="996" t="s">
        <v>355</v>
      </c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J3" s="998" t="s">
        <v>391</v>
      </c>
      <c r="AK3" s="998" t="s">
        <v>390</v>
      </c>
      <c r="AL3" s="999" t="s">
        <v>392</v>
      </c>
      <c r="AM3" s="997" t="s">
        <v>393</v>
      </c>
      <c r="AN3" s="997" t="s">
        <v>394</v>
      </c>
      <c r="AO3" s="997" t="s">
        <v>395</v>
      </c>
      <c r="AP3" s="997" t="s">
        <v>396</v>
      </c>
    </row>
    <row r="4" spans="1:42" ht="30" customHeight="1">
      <c r="A4" s="102" t="s">
        <v>0</v>
      </c>
      <c r="B4" s="102" t="s">
        <v>284</v>
      </c>
      <c r="C4" s="102" t="s">
        <v>2</v>
      </c>
      <c r="D4" s="103" t="s">
        <v>3</v>
      </c>
      <c r="E4" s="104">
        <v>1</v>
      </c>
      <c r="F4" s="104">
        <v>2</v>
      </c>
      <c r="G4" s="104" t="s">
        <v>384</v>
      </c>
      <c r="H4" s="104">
        <v>4</v>
      </c>
      <c r="I4" s="104">
        <v>5</v>
      </c>
      <c r="J4" s="104">
        <v>6</v>
      </c>
      <c r="K4" s="104">
        <v>7</v>
      </c>
      <c r="L4" s="104">
        <v>8</v>
      </c>
      <c r="M4" s="104" t="s">
        <v>384</v>
      </c>
      <c r="N4" s="104">
        <v>9</v>
      </c>
      <c r="O4" s="104">
        <v>10</v>
      </c>
      <c r="P4" s="104">
        <v>11</v>
      </c>
      <c r="Q4" s="104">
        <v>12</v>
      </c>
      <c r="R4" s="104">
        <v>13</v>
      </c>
      <c r="S4" s="104">
        <v>14</v>
      </c>
      <c r="T4" s="104" t="s">
        <v>384</v>
      </c>
      <c r="U4" s="104">
        <v>16</v>
      </c>
      <c r="V4" s="104">
        <v>17</v>
      </c>
      <c r="W4" s="104">
        <v>18</v>
      </c>
      <c r="X4" s="104">
        <v>19</v>
      </c>
      <c r="Y4" s="104">
        <v>20</v>
      </c>
      <c r="Z4" s="104">
        <v>21</v>
      </c>
      <c r="AA4" s="104" t="s">
        <v>384</v>
      </c>
      <c r="AB4" s="104">
        <v>23</v>
      </c>
      <c r="AC4" s="104">
        <v>24</v>
      </c>
      <c r="AD4" s="104">
        <v>25</v>
      </c>
      <c r="AE4" s="104">
        <v>26</v>
      </c>
      <c r="AF4" s="104">
        <v>27</v>
      </c>
      <c r="AG4" s="104">
        <v>28</v>
      </c>
      <c r="AH4" s="104">
        <v>29</v>
      </c>
      <c r="AI4" s="104">
        <v>30</v>
      </c>
      <c r="AJ4" s="998"/>
      <c r="AK4" s="998"/>
      <c r="AL4" s="1000"/>
      <c r="AM4" s="997"/>
      <c r="AN4" s="997"/>
      <c r="AO4" s="997"/>
      <c r="AP4" s="997"/>
    </row>
    <row r="5" spans="1:42" ht="30" customHeight="1">
      <c r="A5" s="102"/>
      <c r="B5" s="102"/>
      <c r="C5" s="102"/>
      <c r="D5" s="103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861"/>
      <c r="AK5" s="861"/>
      <c r="AL5" s="861"/>
      <c r="AM5" s="860"/>
      <c r="AN5" s="860"/>
      <c r="AO5" s="860"/>
      <c r="AP5" s="860"/>
    </row>
    <row r="6" spans="1:42" s="701" customFormat="1" ht="20.25" customHeight="1">
      <c r="A6" s="263">
        <v>1</v>
      </c>
      <c r="B6" s="709"/>
      <c r="C6" s="715" t="s">
        <v>735</v>
      </c>
      <c r="D6" s="709"/>
      <c r="E6" s="260"/>
      <c r="F6" s="260"/>
      <c r="G6" s="260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</row>
    <row r="7" spans="1:42" s="703" customFormat="1" ht="16.5" customHeight="1">
      <c r="A7" s="668">
        <v>2</v>
      </c>
      <c r="B7" s="668" t="s">
        <v>118</v>
      </c>
      <c r="C7" s="668" t="s">
        <v>70</v>
      </c>
      <c r="D7" s="668" t="s">
        <v>823</v>
      </c>
      <c r="E7" s="531"/>
      <c r="F7" s="531"/>
      <c r="G7" s="531"/>
      <c r="H7" s="702"/>
      <c r="I7" s="702"/>
      <c r="J7" s="702"/>
      <c r="K7" s="702"/>
      <c r="L7" s="702"/>
      <c r="M7" s="702"/>
      <c r="N7" s="702"/>
      <c r="O7" s="702"/>
      <c r="P7" s="702"/>
      <c r="Q7" s="702"/>
      <c r="R7" s="702"/>
      <c r="S7" s="702"/>
      <c r="T7" s="702"/>
      <c r="U7" s="702"/>
      <c r="V7" s="702"/>
      <c r="W7" s="702"/>
      <c r="X7" s="702"/>
      <c r="Y7" s="702"/>
      <c r="Z7" s="702"/>
      <c r="AA7" s="702"/>
      <c r="AB7" s="702"/>
      <c r="AC7" s="702"/>
      <c r="AD7" s="702"/>
      <c r="AE7" s="702"/>
      <c r="AF7" s="702"/>
      <c r="AG7" s="702"/>
      <c r="AH7" s="702"/>
      <c r="AI7" s="702"/>
      <c r="AJ7" s="112">
        <f>'BANG LUONG 1'!$N$1-CC!AJ6-CC!AK6-CC!AL6-CC!AM6</f>
        <v>-1</v>
      </c>
      <c r="AK7" s="817">
        <f>'BANG LUONG 1'!$N$1-CC!AJ6-CC!AK6-CC!AM6-1</f>
        <v>-2</v>
      </c>
      <c r="AL7" s="112">
        <f>COUNTIF(E7:AI7,"NB")</f>
        <v>0</v>
      </c>
      <c r="AM7" s="116">
        <f>IF(AJ7&gt;=1,100%,0)</f>
        <v>0</v>
      </c>
      <c r="AN7" s="116">
        <f>IF(AK7&lt;1,0,IF(AK7=1,50%,IF(AK7&lt;=2,75%,IF(AK7&gt;2,100%,0))))</f>
        <v>0</v>
      </c>
      <c r="AO7" s="116">
        <f>IF(AL7&lt;1,0,IF(AL7=1,25%,IF(AL7&lt;=2,50%,IF(AL7&lt;=3,75%,IF(AL7&gt;=4,100%,0)))))</f>
        <v>0</v>
      </c>
      <c r="AP7" s="115">
        <f>IF(SUM(AM7:AO7)&lt;=100%,SUM(AM7:AO7),100%)</f>
        <v>0</v>
      </c>
    </row>
    <row r="8" spans="1:42" s="701" customFormat="1" ht="16.5" customHeight="1">
      <c r="A8" s="668">
        <v>5</v>
      </c>
      <c r="B8" s="668" t="s">
        <v>119</v>
      </c>
      <c r="C8" s="437" t="s">
        <v>91</v>
      </c>
      <c r="D8" s="437" t="s">
        <v>207</v>
      </c>
      <c r="E8" s="260"/>
      <c r="F8" s="260"/>
      <c r="G8" s="260"/>
      <c r="H8" s="719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253"/>
      <c r="AD8" s="253"/>
      <c r="AE8" s="253"/>
      <c r="AF8" s="253"/>
      <c r="AG8" s="253"/>
      <c r="AH8" s="253"/>
      <c r="AI8" s="253"/>
      <c r="AJ8" s="112">
        <f>'BANG LUONG 1'!$N$1-CC!AJ7-CC!AK7-CC!AL7-CC!AM7</f>
        <v>-1</v>
      </c>
      <c r="AK8" s="817">
        <f>'BANG LUONG 1'!$N$1-CC!AJ7-CC!AK7-CC!AM7-1</f>
        <v>-2</v>
      </c>
      <c r="AL8" s="112">
        <f t="shared" ref="AL8:AL52" si="0">COUNTIF(E8:AI8,"NB")</f>
        <v>0</v>
      </c>
      <c r="AM8" s="116">
        <f t="shared" ref="AM8:AM52" si="1">IF(AJ8&gt;=1,100%,0)</f>
        <v>0</v>
      </c>
      <c r="AN8" s="116">
        <f t="shared" ref="AN8:AN52" si="2">IF(AK8&lt;1,0,IF(AK8=1,50%,IF(AK8&lt;=2,75%,IF(AK8&gt;2,100%,0))))</f>
        <v>0</v>
      </c>
      <c r="AO8" s="116">
        <f t="shared" ref="AO8:AO52" si="3">IF(AL8&lt;1,0,IF(AL8=1,25%,IF(AL8&lt;=2,50%,IF(AL8&lt;=3,75%,IF(AL8&gt;=4,100%,0)))))</f>
        <v>0</v>
      </c>
      <c r="AP8" s="115">
        <f t="shared" ref="AP8:AP52" si="4">IF(SUM(AM8:AO8)&lt;=100%,SUM(AM8:AO8),100%)</f>
        <v>0</v>
      </c>
    </row>
    <row r="9" spans="1:42" s="701" customFormat="1" ht="16.5" customHeight="1">
      <c r="A9" s="437">
        <v>7</v>
      </c>
      <c r="B9" s="437" t="s">
        <v>122</v>
      </c>
      <c r="C9" s="437" t="s">
        <v>784</v>
      </c>
      <c r="D9" s="437" t="s">
        <v>207</v>
      </c>
      <c r="E9" s="794"/>
      <c r="F9" s="531"/>
      <c r="G9" s="531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112">
        <f>'BANG LUONG 1'!$N$1-CC!AJ8-CC!AK8-CC!AL8-CC!AM8</f>
        <v>-1</v>
      </c>
      <c r="AK9" s="817">
        <f>'BANG LUONG 1'!$N$1-CC!AJ8-CC!AK8-CC!AM8-1</f>
        <v>-2</v>
      </c>
      <c r="AL9" s="112">
        <f t="shared" si="0"/>
        <v>0</v>
      </c>
      <c r="AM9" s="116">
        <f t="shared" si="1"/>
        <v>0</v>
      </c>
      <c r="AN9" s="116">
        <f t="shared" si="2"/>
        <v>0</v>
      </c>
      <c r="AO9" s="116">
        <f t="shared" si="3"/>
        <v>0</v>
      </c>
      <c r="AP9" s="115">
        <f t="shared" si="4"/>
        <v>0</v>
      </c>
    </row>
    <row r="10" spans="1:42" s="701" customFormat="1" ht="17.25" customHeight="1">
      <c r="A10" s="668">
        <v>9</v>
      </c>
      <c r="B10" s="668" t="s">
        <v>124</v>
      </c>
      <c r="C10" s="437" t="s">
        <v>369</v>
      </c>
      <c r="D10" s="437" t="s">
        <v>207</v>
      </c>
      <c r="E10" s="711"/>
      <c r="F10" s="711"/>
      <c r="G10" s="711"/>
      <c r="H10" s="709"/>
      <c r="I10" s="709"/>
      <c r="J10" s="70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  <c r="AA10" s="709"/>
      <c r="AB10" s="709"/>
      <c r="AC10" s="709"/>
      <c r="AD10" s="709"/>
      <c r="AE10" s="709"/>
      <c r="AF10" s="709"/>
      <c r="AG10" s="709"/>
      <c r="AH10" s="709"/>
      <c r="AI10" s="709"/>
      <c r="AJ10" s="112">
        <f>'BANG LUONG 1'!$N$1-CC!AJ9-CC!AK9-CC!AL9-CC!AM9</f>
        <v>-1</v>
      </c>
      <c r="AK10" s="817">
        <f>'BANG LUONG 1'!$N$1-CC!AJ9-CC!AK9-CC!AM9-1</f>
        <v>-2</v>
      </c>
      <c r="AL10" s="112">
        <f t="shared" si="0"/>
        <v>0</v>
      </c>
      <c r="AM10" s="116">
        <f t="shared" si="1"/>
        <v>0</v>
      </c>
      <c r="AN10" s="116">
        <f t="shared" si="2"/>
        <v>0</v>
      </c>
      <c r="AO10" s="116">
        <f t="shared" si="3"/>
        <v>0</v>
      </c>
      <c r="AP10" s="115">
        <f t="shared" si="4"/>
        <v>0</v>
      </c>
    </row>
    <row r="11" spans="1:42" s="701" customFormat="1" ht="16.5" customHeight="1">
      <c r="A11" s="437">
        <v>10</v>
      </c>
      <c r="B11" s="437" t="s">
        <v>126</v>
      </c>
      <c r="C11" s="437" t="s">
        <v>718</v>
      </c>
      <c r="D11" s="437" t="s">
        <v>207</v>
      </c>
      <c r="E11" s="801"/>
      <c r="F11" s="801"/>
      <c r="G11" s="801"/>
      <c r="H11" s="720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I11" s="253"/>
      <c r="AJ11" s="112">
        <f>'BANG LUONG 1'!$N$1-CC!AJ10-CC!AK10-CC!AL10-CC!AM10</f>
        <v>-1</v>
      </c>
      <c r="AK11" s="817">
        <f>'BANG LUONG 1'!$N$1-CC!AJ10-CC!AK10-CC!AM10-1</f>
        <v>-2</v>
      </c>
      <c r="AL11" s="112">
        <f t="shared" si="0"/>
        <v>0</v>
      </c>
      <c r="AM11" s="116">
        <f t="shared" si="1"/>
        <v>0</v>
      </c>
      <c r="AN11" s="116">
        <f t="shared" si="2"/>
        <v>0</v>
      </c>
      <c r="AO11" s="116">
        <f t="shared" si="3"/>
        <v>0</v>
      </c>
      <c r="AP11" s="115">
        <f t="shared" si="4"/>
        <v>0</v>
      </c>
    </row>
    <row r="12" spans="1:42" s="701" customFormat="1">
      <c r="A12" s="668">
        <v>11</v>
      </c>
      <c r="B12" s="668" t="s">
        <v>127</v>
      </c>
      <c r="C12" s="437" t="s">
        <v>753</v>
      </c>
      <c r="D12" s="437" t="s">
        <v>207</v>
      </c>
      <c r="E12" s="801"/>
      <c r="F12" s="801"/>
      <c r="G12" s="801"/>
      <c r="H12" s="720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112">
        <f>'BANG LUONG 1'!$N$1-CC!AJ11-CC!AK11-CC!AL11-CC!AM11</f>
        <v>-1</v>
      </c>
      <c r="AK12" s="817">
        <f>'BANG LUONG 1'!$N$1-CC!AJ11-CC!AK11-CC!AM11-1</f>
        <v>-2</v>
      </c>
      <c r="AL12" s="112">
        <f t="shared" si="0"/>
        <v>0</v>
      </c>
      <c r="AM12" s="116">
        <f t="shared" si="1"/>
        <v>0</v>
      </c>
      <c r="AN12" s="116">
        <f t="shared" si="2"/>
        <v>0</v>
      </c>
      <c r="AO12" s="116">
        <f t="shared" si="3"/>
        <v>0</v>
      </c>
      <c r="AP12" s="115">
        <f t="shared" si="4"/>
        <v>0</v>
      </c>
    </row>
    <row r="13" spans="1:42" s="701" customFormat="1">
      <c r="A13" s="437">
        <v>12</v>
      </c>
      <c r="B13" s="437" t="s">
        <v>128</v>
      </c>
      <c r="C13" s="437" t="s">
        <v>743</v>
      </c>
      <c r="D13" s="437" t="s">
        <v>207</v>
      </c>
      <c r="E13" s="792"/>
      <c r="F13" s="792"/>
      <c r="G13" s="792"/>
      <c r="H13" s="721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112">
        <f>'BANG LUONG 1'!$N$1-CC!AJ12-CC!AK12-CC!AL12-CC!AM12</f>
        <v>-1</v>
      </c>
      <c r="AK13" s="817">
        <f>'BANG LUONG 1'!$N$1-CC!AJ12-CC!AK12-CC!AM12-1</f>
        <v>-2</v>
      </c>
      <c r="AL13" s="112">
        <f t="shared" si="0"/>
        <v>0</v>
      </c>
      <c r="AM13" s="116">
        <f t="shared" si="1"/>
        <v>0</v>
      </c>
      <c r="AN13" s="116">
        <f t="shared" si="2"/>
        <v>0</v>
      </c>
      <c r="AO13" s="116">
        <f t="shared" si="3"/>
        <v>0</v>
      </c>
      <c r="AP13" s="115">
        <f t="shared" si="4"/>
        <v>0</v>
      </c>
    </row>
    <row r="14" spans="1:42" s="701" customFormat="1">
      <c r="A14" s="437"/>
      <c r="B14" s="437" t="s">
        <v>129</v>
      </c>
      <c r="C14" s="437" t="s">
        <v>599</v>
      </c>
      <c r="D14" s="437" t="s">
        <v>207</v>
      </c>
      <c r="E14" s="792"/>
      <c r="F14" s="792"/>
      <c r="G14" s="792"/>
      <c r="H14" s="721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112">
        <f>'BANG LUONG 1'!$N$1-CC!AJ13-CC!AK13-CC!AL13-CC!AM13</f>
        <v>-1</v>
      </c>
      <c r="AK14" s="817">
        <f>'BANG LUONG 1'!$N$1-CC!AJ13-CC!AK13-CC!AM13-1</f>
        <v>-2</v>
      </c>
      <c r="AL14" s="112">
        <f t="shared" si="0"/>
        <v>0</v>
      </c>
      <c r="AM14" s="116">
        <f t="shared" si="1"/>
        <v>0</v>
      </c>
      <c r="AN14" s="116">
        <f t="shared" si="2"/>
        <v>0</v>
      </c>
      <c r="AO14" s="116">
        <f t="shared" si="3"/>
        <v>0</v>
      </c>
      <c r="AP14" s="115">
        <f t="shared" si="4"/>
        <v>0</v>
      </c>
    </row>
    <row r="15" spans="1:42" s="701" customFormat="1">
      <c r="A15" s="437"/>
      <c r="B15" s="437" t="s">
        <v>163</v>
      </c>
      <c r="C15" s="437" t="s">
        <v>888</v>
      </c>
      <c r="D15" s="437" t="s">
        <v>207</v>
      </c>
      <c r="E15" s="792"/>
      <c r="F15" s="792"/>
      <c r="G15" s="792"/>
      <c r="H15" s="721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  <c r="AD15" s="253"/>
      <c r="AE15" s="253"/>
      <c r="AF15" s="253"/>
      <c r="AG15" s="253"/>
      <c r="AH15" s="253"/>
      <c r="AI15" s="253"/>
      <c r="AJ15" s="112">
        <f>'BANG LUONG 1'!$N$1-CC!AJ14-CC!AK14-CC!AL14-CC!AM14</f>
        <v>-1</v>
      </c>
      <c r="AK15" s="817">
        <f>'BANG LUONG 1'!$N$1-CC!AJ14-CC!AK14-CC!AM14-1</f>
        <v>-2</v>
      </c>
      <c r="AL15" s="112">
        <f t="shared" si="0"/>
        <v>0</v>
      </c>
      <c r="AM15" s="116">
        <f t="shared" si="1"/>
        <v>0</v>
      </c>
      <c r="AN15" s="116">
        <f t="shared" si="2"/>
        <v>0</v>
      </c>
      <c r="AO15" s="116">
        <f t="shared" si="3"/>
        <v>0</v>
      </c>
      <c r="AP15" s="115">
        <f t="shared" si="4"/>
        <v>0</v>
      </c>
    </row>
    <row r="16" spans="1:42" s="701" customFormat="1">
      <c r="A16" s="862"/>
      <c r="B16" s="862" t="s">
        <v>164</v>
      </c>
      <c r="C16" s="862" t="s">
        <v>889</v>
      </c>
      <c r="D16" s="862" t="s">
        <v>207</v>
      </c>
      <c r="E16" s="813"/>
      <c r="F16" s="813"/>
      <c r="G16" s="813"/>
      <c r="H16" s="815"/>
      <c r="I16" s="816"/>
      <c r="J16" s="816"/>
      <c r="K16" s="816"/>
      <c r="L16" s="816"/>
      <c r="M16" s="816"/>
      <c r="N16" s="816"/>
      <c r="O16" s="816"/>
      <c r="P16" s="816"/>
      <c r="Q16" s="816"/>
      <c r="R16" s="816"/>
      <c r="S16" s="816"/>
      <c r="T16" s="816"/>
      <c r="U16" s="816"/>
      <c r="V16" s="816"/>
      <c r="W16" s="816"/>
      <c r="X16" s="816"/>
      <c r="Y16" s="816"/>
      <c r="Z16" s="816"/>
      <c r="AA16" s="816"/>
      <c r="AB16" s="816"/>
      <c r="AC16" s="816"/>
      <c r="AD16" s="816"/>
      <c r="AE16" s="816"/>
      <c r="AF16" s="816"/>
      <c r="AG16" s="816"/>
      <c r="AH16" s="816"/>
      <c r="AI16" s="816"/>
      <c r="AJ16" s="112">
        <f>'BANG LUONG 1'!$N$1-CC!AJ15-CC!AK15-CC!AL15-CC!AM15</f>
        <v>-1</v>
      </c>
      <c r="AK16" s="817">
        <f>'BANG LUONG 1'!$N$1-CC!AJ15-CC!AK15-CC!AM15-1</f>
        <v>-2</v>
      </c>
      <c r="AL16" s="112">
        <f t="shared" si="0"/>
        <v>0</v>
      </c>
      <c r="AM16" s="116">
        <f t="shared" si="1"/>
        <v>0</v>
      </c>
      <c r="AN16" s="116">
        <f t="shared" si="2"/>
        <v>0</v>
      </c>
      <c r="AO16" s="116">
        <f t="shared" si="3"/>
        <v>0</v>
      </c>
      <c r="AP16" s="115">
        <f t="shared" si="4"/>
        <v>0</v>
      </c>
    </row>
    <row r="17" spans="1:42" s="701" customFormat="1" ht="16.5" customHeight="1">
      <c r="A17" s="425">
        <v>13</v>
      </c>
      <c r="B17" s="425"/>
      <c r="C17" s="425" t="s">
        <v>736</v>
      </c>
      <c r="D17" s="425"/>
      <c r="E17" s="801"/>
      <c r="F17" s="801"/>
      <c r="G17" s="801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816"/>
      <c r="AJ17" s="816"/>
      <c r="AK17" s="816"/>
      <c r="AL17" s="816"/>
      <c r="AM17" s="816"/>
      <c r="AN17" s="816"/>
      <c r="AO17" s="816"/>
      <c r="AP17" s="816"/>
    </row>
    <row r="18" spans="1:42" s="701" customFormat="1" ht="16.5" customHeight="1">
      <c r="A18" s="437">
        <v>14</v>
      </c>
      <c r="B18" s="437" t="s">
        <v>130</v>
      </c>
      <c r="C18" s="437" t="s">
        <v>737</v>
      </c>
      <c r="D18" s="437" t="s">
        <v>206</v>
      </c>
      <c r="E18" s="792"/>
      <c r="F18" s="792"/>
      <c r="G18" s="792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112">
        <f>'BANG LUONG 1'!$N$1-CC!AJ19-CC!AK19-CC!AL19-CC!AM19</f>
        <v>-1</v>
      </c>
      <c r="AK18" s="817">
        <f>'BANG LUONG 1'!$N$1-CC!AJ19-CC!AK19-CC!AM19-1</f>
        <v>-2</v>
      </c>
      <c r="AL18" s="112">
        <f t="shared" si="0"/>
        <v>0</v>
      </c>
      <c r="AM18" s="116">
        <f t="shared" si="1"/>
        <v>0</v>
      </c>
      <c r="AN18" s="116">
        <f t="shared" si="2"/>
        <v>0</v>
      </c>
      <c r="AO18" s="116">
        <f t="shared" si="3"/>
        <v>0</v>
      </c>
      <c r="AP18" s="115">
        <f t="shared" si="4"/>
        <v>0</v>
      </c>
    </row>
    <row r="19" spans="1:42" s="701" customFormat="1" ht="16.5" customHeight="1">
      <c r="A19" s="437">
        <v>15</v>
      </c>
      <c r="B19" s="437" t="s">
        <v>131</v>
      </c>
      <c r="C19" s="437" t="s">
        <v>87</v>
      </c>
      <c r="D19" s="437" t="s">
        <v>206</v>
      </c>
      <c r="E19" s="801"/>
      <c r="F19" s="801"/>
      <c r="G19" s="801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112">
        <f>'BANG LUONG 1'!$N$1-CC!AJ20-CC!AK20-CC!AL20-CC!AM20</f>
        <v>-1</v>
      </c>
      <c r="AK19" s="817">
        <f>'BANG LUONG 1'!$N$1-CC!AJ20-CC!AK20-CC!AM20-1</f>
        <v>-2</v>
      </c>
      <c r="AL19" s="112">
        <f t="shared" si="0"/>
        <v>0</v>
      </c>
      <c r="AM19" s="116">
        <f t="shared" si="1"/>
        <v>0</v>
      </c>
      <c r="AN19" s="116">
        <f t="shared" si="2"/>
        <v>0</v>
      </c>
      <c r="AO19" s="116">
        <f t="shared" si="3"/>
        <v>0</v>
      </c>
      <c r="AP19" s="115">
        <f t="shared" si="4"/>
        <v>0</v>
      </c>
    </row>
    <row r="20" spans="1:42" s="701" customFormat="1" ht="16.5" customHeight="1">
      <c r="A20" s="437">
        <v>16</v>
      </c>
      <c r="B20" s="437" t="s">
        <v>132</v>
      </c>
      <c r="C20" s="437" t="s">
        <v>88</v>
      </c>
      <c r="D20" s="437" t="s">
        <v>206</v>
      </c>
      <c r="E20" s="801"/>
      <c r="F20" s="801"/>
      <c r="G20" s="801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112">
        <f>'BANG LUONG 1'!$N$1-CC!AJ21-CC!AK21-CC!AL21-CC!AM21</f>
        <v>-1</v>
      </c>
      <c r="AK20" s="817">
        <f>'BANG LUONG 1'!$N$1-CC!AJ21-CC!AK21-CC!AM21-1</f>
        <v>-2</v>
      </c>
      <c r="AL20" s="112">
        <f t="shared" si="0"/>
        <v>0</v>
      </c>
      <c r="AM20" s="116">
        <f t="shared" si="1"/>
        <v>0</v>
      </c>
      <c r="AN20" s="116">
        <f t="shared" si="2"/>
        <v>0</v>
      </c>
      <c r="AO20" s="116">
        <f t="shared" si="3"/>
        <v>0</v>
      </c>
      <c r="AP20" s="115">
        <f t="shared" si="4"/>
        <v>0</v>
      </c>
    </row>
    <row r="21" spans="1:42" s="701" customFormat="1" ht="16.5" customHeight="1">
      <c r="A21" s="437">
        <v>18</v>
      </c>
      <c r="B21" s="437" t="s">
        <v>133</v>
      </c>
      <c r="C21" s="437" t="s">
        <v>71</v>
      </c>
      <c r="D21" s="437" t="s">
        <v>206</v>
      </c>
      <c r="E21" s="792"/>
      <c r="F21" s="801"/>
      <c r="G21" s="801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253"/>
      <c r="AG21" s="253"/>
      <c r="AH21" s="253"/>
      <c r="AI21" s="253"/>
      <c r="AJ21" s="112">
        <f>'BANG LUONG 1'!$N$1-CC!AJ22-CC!AK22-CC!AL22-CC!AM22</f>
        <v>-1</v>
      </c>
      <c r="AK21" s="817">
        <f>'BANG LUONG 1'!$N$1-CC!AJ22-CC!AK22-CC!AM22-1</f>
        <v>-2</v>
      </c>
      <c r="AL21" s="112">
        <f t="shared" si="0"/>
        <v>0</v>
      </c>
      <c r="AM21" s="116">
        <f t="shared" si="1"/>
        <v>0</v>
      </c>
      <c r="AN21" s="116">
        <f t="shared" si="2"/>
        <v>0</v>
      </c>
      <c r="AO21" s="116">
        <f t="shared" si="3"/>
        <v>0</v>
      </c>
      <c r="AP21" s="115">
        <f t="shared" si="4"/>
        <v>0</v>
      </c>
    </row>
    <row r="22" spans="1:42" s="701" customFormat="1" ht="16.5" customHeight="1">
      <c r="A22" s="437">
        <v>19</v>
      </c>
      <c r="B22" s="437" t="s">
        <v>135</v>
      </c>
      <c r="C22" s="437" t="s">
        <v>571</v>
      </c>
      <c r="D22" s="437" t="s">
        <v>206</v>
      </c>
      <c r="E22" s="792"/>
      <c r="F22" s="799"/>
      <c r="G22" s="799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112">
        <f>'BANG LUONG 1'!$N$1-CC!AJ23-CC!AK23-CC!AL23-CC!AM23</f>
        <v>-1</v>
      </c>
      <c r="AK22" s="817">
        <f>'BANG LUONG 1'!$N$1-CC!AJ23-CC!AK23-CC!AM23-1</f>
        <v>-2</v>
      </c>
      <c r="AL22" s="112">
        <f t="shared" si="0"/>
        <v>0</v>
      </c>
      <c r="AM22" s="116">
        <f t="shared" si="1"/>
        <v>0</v>
      </c>
      <c r="AN22" s="116">
        <f t="shared" si="2"/>
        <v>0</v>
      </c>
      <c r="AO22" s="116">
        <f t="shared" si="3"/>
        <v>0</v>
      </c>
      <c r="AP22" s="115">
        <f t="shared" si="4"/>
        <v>0</v>
      </c>
    </row>
    <row r="23" spans="1:42" s="705" customFormat="1" ht="26.4">
      <c r="A23" s="437">
        <v>20</v>
      </c>
      <c r="B23" s="437" t="s">
        <v>136</v>
      </c>
      <c r="C23" s="437" t="s">
        <v>75</v>
      </c>
      <c r="D23" s="437" t="s">
        <v>206</v>
      </c>
      <c r="E23" s="792"/>
      <c r="F23" s="799"/>
      <c r="G23" s="799"/>
      <c r="H23" s="704"/>
      <c r="I23" s="704"/>
      <c r="J23" s="704"/>
      <c r="K23" s="704"/>
      <c r="L23" s="704"/>
      <c r="M23" s="704"/>
      <c r="N23" s="704"/>
      <c r="O23" s="704"/>
      <c r="P23" s="704"/>
      <c r="Q23" s="704"/>
      <c r="R23" s="704"/>
      <c r="S23" s="704"/>
      <c r="T23" s="704"/>
      <c r="U23" s="704"/>
      <c r="V23" s="704"/>
      <c r="W23" s="704"/>
      <c r="X23" s="704"/>
      <c r="Y23" s="704"/>
      <c r="Z23" s="704"/>
      <c r="AA23" s="704"/>
      <c r="AB23" s="704"/>
      <c r="AC23" s="704"/>
      <c r="AD23" s="704"/>
      <c r="AE23" s="704"/>
      <c r="AF23" s="704"/>
      <c r="AG23" s="704"/>
      <c r="AH23" s="704"/>
      <c r="AI23" s="704"/>
      <c r="AJ23" s="112">
        <f>'BANG LUONG 1'!$N$1-CC!AJ24-CC!AK24-CC!AL24-CC!AM24</f>
        <v>-1</v>
      </c>
      <c r="AK23" s="817">
        <f>'BANG LUONG 1'!$N$1-CC!AJ24-CC!AK24-CC!AM24-1</f>
        <v>-2</v>
      </c>
      <c r="AL23" s="112">
        <f t="shared" si="0"/>
        <v>0</v>
      </c>
      <c r="AM23" s="116">
        <f t="shared" si="1"/>
        <v>0</v>
      </c>
      <c r="AN23" s="116">
        <f t="shared" si="2"/>
        <v>0</v>
      </c>
      <c r="AO23" s="116">
        <f t="shared" si="3"/>
        <v>0</v>
      </c>
      <c r="AP23" s="115">
        <f t="shared" si="4"/>
        <v>0</v>
      </c>
    </row>
    <row r="24" spans="1:42" s="701" customFormat="1" ht="16.5" customHeight="1">
      <c r="A24" s="437">
        <v>21</v>
      </c>
      <c r="B24" s="437" t="s">
        <v>137</v>
      </c>
      <c r="C24" s="437" t="s">
        <v>77</v>
      </c>
      <c r="D24" s="437" t="s">
        <v>206</v>
      </c>
      <c r="E24" s="799"/>
      <c r="F24" s="799"/>
      <c r="G24" s="799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112">
        <f>'BANG LUONG 1'!$N$1-CC!AJ25-CC!AK25-CC!AL25-CC!AM25</f>
        <v>-1</v>
      </c>
      <c r="AK24" s="817">
        <f>'BANG LUONG 1'!$N$1-CC!AJ25-CC!AK25-CC!AM25-1</f>
        <v>-2</v>
      </c>
      <c r="AL24" s="112">
        <f t="shared" si="0"/>
        <v>0</v>
      </c>
      <c r="AM24" s="116">
        <f t="shared" si="1"/>
        <v>0</v>
      </c>
      <c r="AN24" s="116">
        <f t="shared" si="2"/>
        <v>0</v>
      </c>
      <c r="AO24" s="116">
        <f t="shared" si="3"/>
        <v>0</v>
      </c>
      <c r="AP24" s="115">
        <f t="shared" si="4"/>
        <v>0</v>
      </c>
    </row>
    <row r="25" spans="1:42" s="701" customFormat="1" ht="16.5" customHeight="1">
      <c r="A25" s="437">
        <v>22</v>
      </c>
      <c r="B25" s="437" t="s">
        <v>138</v>
      </c>
      <c r="C25" s="437" t="s">
        <v>93</v>
      </c>
      <c r="D25" s="437" t="s">
        <v>206</v>
      </c>
      <c r="E25" s="801"/>
      <c r="F25" s="801"/>
      <c r="G25" s="801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112">
        <f>'BANG LUONG 1'!$N$1-CC!AJ26-CC!AK26-CC!AL26-CC!AM26</f>
        <v>-1</v>
      </c>
      <c r="AK25" s="817">
        <f>'BANG LUONG 1'!$N$1-CC!AJ26-CC!AK26-CC!AM26-1</f>
        <v>-2</v>
      </c>
      <c r="AL25" s="112">
        <f t="shared" si="0"/>
        <v>0</v>
      </c>
      <c r="AM25" s="116">
        <f t="shared" si="1"/>
        <v>0</v>
      </c>
      <c r="AN25" s="116">
        <f t="shared" si="2"/>
        <v>0</v>
      </c>
      <c r="AO25" s="116">
        <f t="shared" si="3"/>
        <v>0</v>
      </c>
      <c r="AP25" s="115">
        <f t="shared" si="4"/>
        <v>0</v>
      </c>
    </row>
    <row r="26" spans="1:42" s="54" customFormat="1" ht="26.4">
      <c r="A26" s="437">
        <v>23</v>
      </c>
      <c r="B26" s="437" t="s">
        <v>139</v>
      </c>
      <c r="C26" s="437" t="s">
        <v>74</v>
      </c>
      <c r="D26" s="437" t="s">
        <v>206</v>
      </c>
      <c r="E26" s="799"/>
      <c r="F26" s="799"/>
      <c r="G26" s="799"/>
      <c r="H26" s="675"/>
      <c r="I26" s="675"/>
      <c r="J26" s="675"/>
      <c r="K26" s="675"/>
      <c r="L26" s="675"/>
      <c r="M26" s="675"/>
      <c r="N26" s="675"/>
      <c r="O26" s="675"/>
      <c r="P26" s="675"/>
      <c r="Q26" s="675"/>
      <c r="R26" s="675"/>
      <c r="S26" s="675"/>
      <c r="T26" s="675"/>
      <c r="U26" s="675"/>
      <c r="V26" s="675"/>
      <c r="W26" s="675"/>
      <c r="X26" s="675"/>
      <c r="Y26" s="675"/>
      <c r="Z26" s="675"/>
      <c r="AA26" s="675"/>
      <c r="AB26" s="675"/>
      <c r="AC26" s="675"/>
      <c r="AD26" s="675"/>
      <c r="AE26" s="675"/>
      <c r="AF26" s="675"/>
      <c r="AG26" s="675"/>
      <c r="AH26" s="675"/>
      <c r="AI26" s="675"/>
      <c r="AJ26" s="112">
        <f>'BANG LUONG 1'!$N$1-CC!AJ27-CC!AK27-CC!AL27-CC!AM27</f>
        <v>-1</v>
      </c>
      <c r="AK26" s="817">
        <f>'BANG LUONG 1'!$N$1-CC!AJ27-CC!AK27-CC!AM27-1</f>
        <v>-2</v>
      </c>
      <c r="AL26" s="112">
        <f t="shared" si="0"/>
        <v>0</v>
      </c>
      <c r="AM26" s="116">
        <f t="shared" si="1"/>
        <v>0</v>
      </c>
      <c r="AN26" s="116">
        <f t="shared" si="2"/>
        <v>0</v>
      </c>
      <c r="AO26" s="116">
        <f t="shared" si="3"/>
        <v>0</v>
      </c>
      <c r="AP26" s="115">
        <f t="shared" si="4"/>
        <v>0</v>
      </c>
    </row>
    <row r="27" spans="1:42" s="701" customFormat="1" ht="16.5" customHeight="1">
      <c r="A27" s="437">
        <v>24</v>
      </c>
      <c r="B27" s="437" t="s">
        <v>140</v>
      </c>
      <c r="C27" s="437" t="s">
        <v>80</v>
      </c>
      <c r="D27" s="437" t="s">
        <v>207</v>
      </c>
      <c r="E27" s="799"/>
      <c r="F27" s="799"/>
      <c r="G27" s="799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  <c r="AD27" s="253"/>
      <c r="AE27" s="253"/>
      <c r="AF27" s="253"/>
      <c r="AG27" s="253"/>
      <c r="AH27" s="253"/>
      <c r="AI27" s="253"/>
      <c r="AJ27" s="112">
        <f>'BANG LUONG 1'!$N$1-CC!AJ28-CC!AK28-CC!AL28-CC!AM28</f>
        <v>-1</v>
      </c>
      <c r="AK27" s="817">
        <f>'BANG LUONG 1'!$N$1-CC!AJ28-CC!AK28-CC!AM28-1</f>
        <v>-2</v>
      </c>
      <c r="AL27" s="112">
        <f t="shared" si="0"/>
        <v>0</v>
      </c>
      <c r="AM27" s="116">
        <f t="shared" si="1"/>
        <v>0</v>
      </c>
      <c r="AN27" s="116">
        <f t="shared" si="2"/>
        <v>0</v>
      </c>
      <c r="AO27" s="116">
        <f t="shared" si="3"/>
        <v>0</v>
      </c>
      <c r="AP27" s="115">
        <f t="shared" si="4"/>
        <v>0</v>
      </c>
    </row>
    <row r="28" spans="1:42" s="701" customFormat="1" ht="16.5" customHeight="1">
      <c r="A28" s="437">
        <v>25</v>
      </c>
      <c r="B28" s="437" t="s">
        <v>141</v>
      </c>
      <c r="C28" s="437" t="s">
        <v>763</v>
      </c>
      <c r="D28" s="437" t="s">
        <v>719</v>
      </c>
      <c r="E28" s="799"/>
      <c r="F28" s="799"/>
      <c r="G28" s="799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253"/>
      <c r="AG28" s="253"/>
      <c r="AH28" s="253"/>
      <c r="AI28" s="253"/>
      <c r="AJ28" s="112">
        <f>'BANG LUONG 1'!$N$1-CC!AJ29-CC!AK29-CC!AL29-CC!AM29</f>
        <v>-1</v>
      </c>
      <c r="AK28" s="817">
        <f>'BANG LUONG 1'!$N$1-CC!AJ29-CC!AK29-CC!AM29-1</f>
        <v>-2</v>
      </c>
      <c r="AL28" s="112">
        <f t="shared" si="0"/>
        <v>0</v>
      </c>
      <c r="AM28" s="116">
        <f t="shared" si="1"/>
        <v>0</v>
      </c>
      <c r="AN28" s="116">
        <f t="shared" si="2"/>
        <v>0</v>
      </c>
      <c r="AO28" s="116">
        <f t="shared" si="3"/>
        <v>0</v>
      </c>
      <c r="AP28" s="115">
        <f t="shared" si="4"/>
        <v>0</v>
      </c>
    </row>
    <row r="29" spans="1:42" s="54" customFormat="1" ht="26.4">
      <c r="A29" s="437">
        <v>26</v>
      </c>
      <c r="B29" s="437" t="s">
        <v>142</v>
      </c>
      <c r="C29" s="437" t="s">
        <v>788</v>
      </c>
      <c r="D29" s="437" t="s">
        <v>206</v>
      </c>
      <c r="E29" s="801"/>
      <c r="F29" s="801"/>
      <c r="G29" s="801"/>
      <c r="H29" s="675"/>
      <c r="I29" s="675"/>
      <c r="J29" s="675"/>
      <c r="K29" s="675"/>
      <c r="L29" s="675"/>
      <c r="M29" s="675"/>
      <c r="N29" s="675"/>
      <c r="O29" s="675"/>
      <c r="P29" s="675"/>
      <c r="Q29" s="675"/>
      <c r="R29" s="675"/>
      <c r="S29" s="675"/>
      <c r="T29" s="675"/>
      <c r="U29" s="675"/>
      <c r="V29" s="675"/>
      <c r="W29" s="675"/>
      <c r="X29" s="675"/>
      <c r="Y29" s="675"/>
      <c r="Z29" s="675"/>
      <c r="AA29" s="675"/>
      <c r="AB29" s="675"/>
      <c r="AC29" s="675"/>
      <c r="AD29" s="675"/>
      <c r="AE29" s="675"/>
      <c r="AF29" s="675"/>
      <c r="AG29" s="675"/>
      <c r="AH29" s="675"/>
      <c r="AI29" s="675"/>
      <c r="AJ29" s="112">
        <f>'BANG LUONG 1'!$N$1-CC!AJ30-CC!AK30-CC!AL30-CC!AM30</f>
        <v>-1</v>
      </c>
      <c r="AK29" s="817">
        <f>'BANG LUONG 1'!$N$1-CC!AJ30-CC!AK30-CC!AM30-1</f>
        <v>-2</v>
      </c>
      <c r="AL29" s="112">
        <f t="shared" si="0"/>
        <v>0</v>
      </c>
      <c r="AM29" s="116">
        <f t="shared" si="1"/>
        <v>0</v>
      </c>
      <c r="AN29" s="116">
        <f t="shared" si="2"/>
        <v>0</v>
      </c>
      <c r="AO29" s="116">
        <f t="shared" si="3"/>
        <v>0</v>
      </c>
      <c r="AP29" s="115">
        <f t="shared" si="4"/>
        <v>0</v>
      </c>
    </row>
    <row r="30" spans="1:42" s="705" customFormat="1" ht="26.4">
      <c r="A30" s="437">
        <v>27</v>
      </c>
      <c r="B30" s="437" t="s">
        <v>143</v>
      </c>
      <c r="C30" s="437" t="s">
        <v>789</v>
      </c>
      <c r="D30" s="437" t="s">
        <v>206</v>
      </c>
      <c r="E30" s="799"/>
      <c r="F30" s="799"/>
      <c r="G30" s="799"/>
      <c r="H30" s="704"/>
      <c r="I30" s="704"/>
      <c r="J30" s="704"/>
      <c r="K30" s="704"/>
      <c r="L30" s="704"/>
      <c r="M30" s="704"/>
      <c r="N30" s="704"/>
      <c r="O30" s="704"/>
      <c r="P30" s="704"/>
      <c r="Q30" s="704"/>
      <c r="R30" s="704"/>
      <c r="S30" s="704"/>
      <c r="T30" s="704"/>
      <c r="U30" s="704"/>
      <c r="V30" s="704"/>
      <c r="W30" s="704"/>
      <c r="X30" s="704"/>
      <c r="Y30" s="704"/>
      <c r="Z30" s="704"/>
      <c r="AA30" s="704"/>
      <c r="AB30" s="704"/>
      <c r="AC30" s="704"/>
      <c r="AD30" s="704"/>
      <c r="AE30" s="704"/>
      <c r="AF30" s="704"/>
      <c r="AG30" s="704"/>
      <c r="AH30" s="704"/>
      <c r="AI30" s="704"/>
      <c r="AJ30" s="112">
        <f>'BANG LUONG 1'!$N$1-CC!AJ31-CC!AK31-CC!AL31-CC!AM31</f>
        <v>-1</v>
      </c>
      <c r="AK30" s="817">
        <f>'BANG LUONG 1'!$N$1-CC!AJ31-CC!AK31-CC!AM31-1</f>
        <v>-2</v>
      </c>
      <c r="AL30" s="112">
        <f t="shared" si="0"/>
        <v>0</v>
      </c>
      <c r="AM30" s="116">
        <f t="shared" si="1"/>
        <v>0</v>
      </c>
      <c r="AN30" s="116">
        <f t="shared" si="2"/>
        <v>0</v>
      </c>
      <c r="AO30" s="116">
        <f t="shared" si="3"/>
        <v>0</v>
      </c>
      <c r="AP30" s="115">
        <f t="shared" si="4"/>
        <v>0</v>
      </c>
    </row>
    <row r="31" spans="1:42" s="54" customFormat="1" ht="26.4">
      <c r="A31" s="437">
        <v>28</v>
      </c>
      <c r="B31" s="437" t="s">
        <v>144</v>
      </c>
      <c r="C31" s="437" t="s">
        <v>42</v>
      </c>
      <c r="D31" s="437" t="s">
        <v>206</v>
      </c>
      <c r="E31" s="711"/>
      <c r="F31" s="711"/>
      <c r="G31" s="711"/>
      <c r="H31" s="714"/>
      <c r="I31" s="714"/>
      <c r="J31" s="714"/>
      <c r="K31" s="714"/>
      <c r="L31" s="714"/>
      <c r="M31" s="714"/>
      <c r="N31" s="714"/>
      <c r="O31" s="714"/>
      <c r="P31" s="714"/>
      <c r="Q31" s="714"/>
      <c r="R31" s="714"/>
      <c r="S31" s="714"/>
      <c r="T31" s="714"/>
      <c r="U31" s="714"/>
      <c r="V31" s="714"/>
      <c r="W31" s="714"/>
      <c r="X31" s="714"/>
      <c r="Y31" s="714"/>
      <c r="Z31" s="714"/>
      <c r="AA31" s="714"/>
      <c r="AB31" s="714"/>
      <c r="AC31" s="714"/>
      <c r="AD31" s="714"/>
      <c r="AE31" s="714"/>
      <c r="AF31" s="714"/>
      <c r="AG31" s="714"/>
      <c r="AH31" s="714"/>
      <c r="AI31" s="714"/>
      <c r="AJ31" s="112">
        <f>'BANG LUONG 1'!$N$1-CC!AJ32-CC!AK32-CC!AL32-CC!AM32</f>
        <v>-1</v>
      </c>
      <c r="AK31" s="817">
        <f>'BANG LUONG 1'!$N$1-CC!AJ32-CC!AK32-CC!AM32-1</f>
        <v>-2</v>
      </c>
      <c r="AL31" s="112">
        <f t="shared" si="0"/>
        <v>0</v>
      </c>
      <c r="AM31" s="116">
        <f t="shared" si="1"/>
        <v>0</v>
      </c>
      <c r="AN31" s="116">
        <f t="shared" si="2"/>
        <v>0</v>
      </c>
      <c r="AO31" s="116">
        <f t="shared" si="3"/>
        <v>0</v>
      </c>
      <c r="AP31" s="115">
        <f t="shared" si="4"/>
        <v>0</v>
      </c>
    </row>
    <row r="32" spans="1:42" ht="26.4">
      <c r="A32" s="437">
        <v>29</v>
      </c>
      <c r="B32" s="437" t="s">
        <v>145</v>
      </c>
      <c r="C32" s="437" t="s">
        <v>757</v>
      </c>
      <c r="D32" s="437" t="s">
        <v>206</v>
      </c>
      <c r="E32" s="639"/>
      <c r="F32" s="639"/>
      <c r="G32" s="260"/>
      <c r="H32" s="421"/>
      <c r="I32" s="421"/>
      <c r="J32" s="421"/>
      <c r="K32" s="421"/>
      <c r="L32" s="421"/>
      <c r="M32" s="421"/>
      <c r="N32" s="421"/>
      <c r="O32" s="421"/>
      <c r="P32" s="421"/>
      <c r="Q32" s="421"/>
      <c r="R32" s="421"/>
      <c r="S32" s="421"/>
      <c r="T32" s="421"/>
      <c r="U32" s="421"/>
      <c r="V32" s="421"/>
      <c r="W32" s="421"/>
      <c r="X32" s="421"/>
      <c r="Y32" s="421"/>
      <c r="Z32" s="421"/>
      <c r="AA32" s="421"/>
      <c r="AB32" s="421"/>
      <c r="AC32" s="421"/>
      <c r="AD32" s="421"/>
      <c r="AE32" s="421"/>
      <c r="AF32" s="421"/>
      <c r="AG32" s="421"/>
      <c r="AH32" s="421"/>
      <c r="AI32" s="421"/>
      <c r="AJ32" s="112">
        <f>'BANG LUONG 1'!$N$1-CC!AJ33-CC!AK33-CC!AL33-CC!AM33</f>
        <v>-1</v>
      </c>
      <c r="AK32" s="817">
        <f>'BANG LUONG 1'!$N$1-CC!AJ33-CC!AK33-CC!AM33-1</f>
        <v>-2</v>
      </c>
      <c r="AL32" s="112">
        <f t="shared" si="0"/>
        <v>0</v>
      </c>
      <c r="AM32" s="116">
        <f t="shared" si="1"/>
        <v>0</v>
      </c>
      <c r="AN32" s="116">
        <f t="shared" si="2"/>
        <v>0</v>
      </c>
      <c r="AO32" s="116">
        <f t="shared" si="3"/>
        <v>0</v>
      </c>
      <c r="AP32" s="115">
        <f t="shared" si="4"/>
        <v>0</v>
      </c>
    </row>
    <row r="33" spans="1:42" ht="26.4">
      <c r="A33" s="437">
        <v>30</v>
      </c>
      <c r="B33" s="437" t="s">
        <v>146</v>
      </c>
      <c r="C33" s="437" t="s">
        <v>774</v>
      </c>
      <c r="D33" s="437" t="s">
        <v>206</v>
      </c>
      <c r="E33" s="639"/>
      <c r="F33" s="531"/>
      <c r="G33" s="531"/>
      <c r="H33" s="421"/>
      <c r="I33" s="421"/>
      <c r="J33" s="421"/>
      <c r="K33" s="421"/>
      <c r="L33" s="421"/>
      <c r="M33" s="421"/>
      <c r="N33" s="421"/>
      <c r="O33" s="421"/>
      <c r="P33" s="421"/>
      <c r="Q33" s="421"/>
      <c r="R33" s="421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421"/>
      <c r="AI33" s="421"/>
      <c r="AJ33" s="112">
        <f>'BANG LUONG 1'!$N$1-CC!AJ17-CC!AK17-CC!AL17-CC!AM17</f>
        <v>-1</v>
      </c>
      <c r="AK33" s="817">
        <f>'BANG LUONG 1'!$N$1-CC!AJ17-CC!AK17-CC!AM17-1</f>
        <v>-2</v>
      </c>
      <c r="AL33" s="112">
        <f t="shared" si="0"/>
        <v>0</v>
      </c>
      <c r="AM33" s="116">
        <f t="shared" si="1"/>
        <v>0</v>
      </c>
      <c r="AN33" s="116">
        <f t="shared" si="2"/>
        <v>0</v>
      </c>
      <c r="AO33" s="116">
        <f t="shared" si="3"/>
        <v>0</v>
      </c>
      <c r="AP33" s="115">
        <f t="shared" si="4"/>
        <v>0</v>
      </c>
    </row>
    <row r="34" spans="1:42" ht="26.4">
      <c r="A34" s="437">
        <v>31</v>
      </c>
      <c r="B34" s="437" t="s">
        <v>147</v>
      </c>
      <c r="C34" s="437" t="s">
        <v>715</v>
      </c>
      <c r="D34" s="437" t="s">
        <v>206</v>
      </c>
      <c r="E34" s="801"/>
      <c r="F34" s="801"/>
      <c r="G34" s="531"/>
      <c r="H34" s="421"/>
      <c r="I34" s="421"/>
      <c r="J34" s="421"/>
      <c r="K34" s="421"/>
      <c r="L34" s="421"/>
      <c r="M34" s="421"/>
      <c r="N34" s="421"/>
      <c r="O34" s="421"/>
      <c r="P34" s="421"/>
      <c r="Q34" s="421"/>
      <c r="R34" s="421"/>
      <c r="S34" s="421"/>
      <c r="T34" s="421"/>
      <c r="U34" s="421"/>
      <c r="V34" s="421"/>
      <c r="W34" s="421"/>
      <c r="X34" s="421"/>
      <c r="Y34" s="421"/>
      <c r="Z34" s="421"/>
      <c r="AA34" s="421"/>
      <c r="AB34" s="421"/>
      <c r="AC34" s="421"/>
      <c r="AD34" s="421"/>
      <c r="AE34" s="421"/>
      <c r="AF34" s="421"/>
      <c r="AG34" s="421"/>
      <c r="AH34" s="421"/>
      <c r="AI34" s="421"/>
      <c r="AJ34" s="112">
        <f>'BANG LUONG 1'!$N$1-CC!AJ34-CC!AK34-CC!AL34-CC!AM34</f>
        <v>-1</v>
      </c>
      <c r="AK34" s="817">
        <f>'BANG LUONG 1'!$N$1-CC!AJ34-CC!AK34-CC!AM34-1</f>
        <v>-2</v>
      </c>
      <c r="AL34" s="112">
        <f t="shared" si="0"/>
        <v>0</v>
      </c>
      <c r="AM34" s="116">
        <f t="shared" si="1"/>
        <v>0</v>
      </c>
      <c r="AN34" s="116">
        <f t="shared" si="2"/>
        <v>0</v>
      </c>
      <c r="AO34" s="116">
        <f t="shared" si="3"/>
        <v>0</v>
      </c>
      <c r="AP34" s="115">
        <f t="shared" si="4"/>
        <v>0</v>
      </c>
    </row>
    <row r="35" spans="1:42" ht="26.4">
      <c r="A35" s="437">
        <v>32</v>
      </c>
      <c r="B35" s="437" t="s">
        <v>148</v>
      </c>
      <c r="C35" s="437" t="s">
        <v>775</v>
      </c>
      <c r="D35" s="437" t="s">
        <v>206</v>
      </c>
      <c r="E35" s="531"/>
      <c r="F35" s="531"/>
      <c r="G35" s="53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421"/>
      <c r="AG35" s="421"/>
      <c r="AH35" s="421"/>
      <c r="AI35" s="421"/>
      <c r="AJ35" s="112">
        <f>'BANG LUONG 1'!$N$1-CC!AJ35-CC!AK35-CC!AL35-CC!AM35</f>
        <v>-1</v>
      </c>
      <c r="AK35" s="817">
        <f>'BANG LUONG 1'!$N$1-CC!AJ35-CC!AK35-CC!AM35-1</f>
        <v>-2</v>
      </c>
      <c r="AL35" s="112">
        <f t="shared" si="0"/>
        <v>0</v>
      </c>
      <c r="AM35" s="116">
        <f t="shared" si="1"/>
        <v>0</v>
      </c>
      <c r="AN35" s="116">
        <f t="shared" si="2"/>
        <v>0</v>
      </c>
      <c r="AO35" s="116">
        <f t="shared" si="3"/>
        <v>0</v>
      </c>
      <c r="AP35" s="115">
        <f t="shared" si="4"/>
        <v>0</v>
      </c>
    </row>
    <row r="36" spans="1:42" s="54" customFormat="1" ht="26.4">
      <c r="A36" s="437">
        <v>33</v>
      </c>
      <c r="B36" s="437" t="s">
        <v>149</v>
      </c>
      <c r="C36" s="437" t="s">
        <v>748</v>
      </c>
      <c r="D36" s="437" t="s">
        <v>810</v>
      </c>
      <c r="E36" s="794"/>
      <c r="F36" s="794"/>
      <c r="G36" s="794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75"/>
      <c r="AB36" s="675"/>
      <c r="AC36" s="675"/>
      <c r="AD36" s="675"/>
      <c r="AE36" s="675"/>
      <c r="AF36" s="675"/>
      <c r="AG36" s="675"/>
      <c r="AH36" s="675"/>
      <c r="AI36" s="675"/>
      <c r="AJ36" s="112">
        <f>'BANG LUONG 1'!$N$1-CC!AJ36-CC!AK36-CC!AL36-CC!AM36</f>
        <v>-1</v>
      </c>
      <c r="AK36" s="817">
        <f>'BANG LUONG 1'!$N$1-CC!AJ36-CC!AK36-CC!AM36-1</f>
        <v>-2</v>
      </c>
      <c r="AL36" s="112">
        <f t="shared" si="0"/>
        <v>0</v>
      </c>
      <c r="AM36" s="116">
        <f t="shared" si="1"/>
        <v>0</v>
      </c>
      <c r="AN36" s="116">
        <f t="shared" si="2"/>
        <v>0</v>
      </c>
      <c r="AO36" s="116">
        <f t="shared" si="3"/>
        <v>0</v>
      </c>
      <c r="AP36" s="115">
        <f t="shared" si="4"/>
        <v>0</v>
      </c>
    </row>
    <row r="37" spans="1:42">
      <c r="A37" s="862"/>
      <c r="B37" s="862" t="s">
        <v>150</v>
      </c>
      <c r="C37" s="862" t="s">
        <v>600</v>
      </c>
      <c r="D37" s="862" t="s">
        <v>809</v>
      </c>
      <c r="E37" s="813"/>
      <c r="F37" s="813"/>
      <c r="G37" s="813"/>
      <c r="H37" s="814"/>
      <c r="I37" s="814"/>
      <c r="J37" s="814"/>
      <c r="K37" s="814"/>
      <c r="L37" s="814"/>
      <c r="M37" s="814"/>
      <c r="N37" s="814"/>
      <c r="O37" s="814"/>
      <c r="P37" s="814"/>
      <c r="Q37" s="814"/>
      <c r="R37" s="814"/>
      <c r="S37" s="814"/>
      <c r="T37" s="814"/>
      <c r="U37" s="814"/>
      <c r="V37" s="814"/>
      <c r="W37" s="814"/>
      <c r="X37" s="814"/>
      <c r="Y37" s="814"/>
      <c r="Z37" s="814"/>
      <c r="AA37" s="814"/>
      <c r="AB37" s="814"/>
      <c r="AC37" s="814"/>
      <c r="AD37" s="814"/>
      <c r="AE37" s="814"/>
      <c r="AF37" s="814"/>
      <c r="AG37" s="814"/>
      <c r="AH37" s="814"/>
      <c r="AI37" s="814"/>
      <c r="AJ37" s="112">
        <f>'BANG LUONG 1'!$N$1-CC!AJ37-CC!AK37-CC!AL37-CC!AM37</f>
        <v>-1</v>
      </c>
      <c r="AK37" s="817">
        <f>'BANG LUONG 1'!$N$1-CC!AJ37-CC!AK37-CC!AM37-1</f>
        <v>-2</v>
      </c>
      <c r="AL37" s="112">
        <f t="shared" si="0"/>
        <v>0</v>
      </c>
      <c r="AM37" s="116">
        <f t="shared" si="1"/>
        <v>0</v>
      </c>
      <c r="AN37" s="116">
        <f t="shared" si="2"/>
        <v>0</v>
      </c>
      <c r="AO37" s="116">
        <f t="shared" si="3"/>
        <v>0</v>
      </c>
      <c r="AP37" s="115">
        <f t="shared" si="4"/>
        <v>0</v>
      </c>
    </row>
    <row r="38" spans="1:42" ht="26.4">
      <c r="A38" s="887">
        <v>34</v>
      </c>
      <c r="B38" s="887"/>
      <c r="C38" s="887" t="s">
        <v>738</v>
      </c>
      <c r="D38" s="887"/>
      <c r="E38" s="801"/>
      <c r="F38" s="801"/>
      <c r="G38" s="654"/>
      <c r="H38" s="421"/>
      <c r="I38" s="421"/>
      <c r="J38" s="421"/>
      <c r="K38" s="421"/>
      <c r="L38" s="421"/>
      <c r="M38" s="421"/>
      <c r="N38" s="421"/>
      <c r="O38" s="421"/>
      <c r="P38" s="421"/>
      <c r="Q38" s="421"/>
      <c r="R38" s="421"/>
      <c r="S38" s="421"/>
      <c r="T38" s="421"/>
      <c r="U38" s="421"/>
      <c r="V38" s="421"/>
      <c r="W38" s="421"/>
      <c r="X38" s="421"/>
      <c r="Y38" s="421"/>
      <c r="Z38" s="421"/>
      <c r="AA38" s="421"/>
      <c r="AB38" s="421"/>
      <c r="AC38" s="421"/>
      <c r="AD38" s="421"/>
      <c r="AE38" s="421"/>
      <c r="AF38" s="421"/>
      <c r="AG38" s="421"/>
      <c r="AH38" s="421"/>
      <c r="AI38" s="814"/>
      <c r="AJ38" s="814"/>
      <c r="AK38" s="814"/>
      <c r="AL38" s="814"/>
      <c r="AM38" s="814"/>
      <c r="AN38" s="814"/>
      <c r="AO38" s="814"/>
      <c r="AP38" s="814"/>
    </row>
    <row r="39" spans="1:42">
      <c r="A39" s="437">
        <v>35</v>
      </c>
      <c r="B39" s="437" t="s">
        <v>151</v>
      </c>
      <c r="C39" s="437" t="s">
        <v>776</v>
      </c>
      <c r="D39" s="437" t="s">
        <v>777</v>
      </c>
      <c r="E39" s="260"/>
      <c r="F39" s="260"/>
      <c r="G39" s="260"/>
      <c r="H39" s="421"/>
      <c r="I39" s="421"/>
      <c r="J39" s="421"/>
      <c r="K39" s="421"/>
      <c r="L39" s="421"/>
      <c r="M39" s="421"/>
      <c r="N39" s="421"/>
      <c r="O39" s="421"/>
      <c r="P39" s="421"/>
      <c r="Q39" s="421"/>
      <c r="R39" s="421"/>
      <c r="S39" s="421"/>
      <c r="T39" s="421"/>
      <c r="U39" s="421"/>
      <c r="V39" s="421"/>
      <c r="W39" s="421"/>
      <c r="X39" s="421"/>
      <c r="Y39" s="421"/>
      <c r="Z39" s="421"/>
      <c r="AA39" s="421"/>
      <c r="AB39" s="421"/>
      <c r="AC39" s="421"/>
      <c r="AD39" s="421"/>
      <c r="AE39" s="421"/>
      <c r="AF39" s="421"/>
      <c r="AG39" s="421"/>
      <c r="AH39" s="421"/>
      <c r="AI39" s="421"/>
      <c r="AJ39" s="112">
        <f>'BANG LUONG 1'!$N$1-CC!AJ39-CC!AK39-CC!AL39-CC!AM39</f>
        <v>-1.5</v>
      </c>
      <c r="AK39" s="817">
        <f>'BANG LUONG 1'!$N$1-CC!AJ39-CC!AK39-CC!AM39-1</f>
        <v>-2</v>
      </c>
      <c r="AL39" s="112">
        <f t="shared" si="0"/>
        <v>0</v>
      </c>
      <c r="AM39" s="116">
        <f t="shared" si="1"/>
        <v>0</v>
      </c>
      <c r="AN39" s="116">
        <f t="shared" si="2"/>
        <v>0</v>
      </c>
      <c r="AO39" s="116">
        <f t="shared" si="3"/>
        <v>0</v>
      </c>
      <c r="AP39" s="115">
        <f t="shared" si="4"/>
        <v>0</v>
      </c>
    </row>
    <row r="40" spans="1:42">
      <c r="A40" s="437">
        <v>37</v>
      </c>
      <c r="B40" s="437" t="s">
        <v>152</v>
      </c>
      <c r="C40" s="437" t="s">
        <v>86</v>
      </c>
      <c r="D40" s="437" t="s">
        <v>207</v>
      </c>
      <c r="H40" s="421"/>
      <c r="I40" s="421"/>
      <c r="J40" s="421"/>
      <c r="K40" s="421"/>
      <c r="L40" s="421"/>
      <c r="M40" s="421"/>
      <c r="N40" s="421"/>
      <c r="O40" s="421"/>
      <c r="P40" s="421"/>
      <c r="Q40" s="421"/>
      <c r="R40" s="421"/>
      <c r="S40" s="421"/>
      <c r="T40" s="421"/>
      <c r="U40" s="421"/>
      <c r="V40" s="421"/>
      <c r="W40" s="421"/>
      <c r="X40" s="421"/>
      <c r="Y40" s="421"/>
      <c r="Z40" s="421"/>
      <c r="AA40" s="421"/>
      <c r="AB40" s="421"/>
      <c r="AC40" s="421"/>
      <c r="AD40" s="421"/>
      <c r="AE40" s="421"/>
      <c r="AF40" s="421"/>
      <c r="AG40" s="421"/>
      <c r="AH40" s="421"/>
      <c r="AI40" s="421"/>
      <c r="AJ40" s="112">
        <f>'BANG LUONG 1'!$N$1-CC!AJ40-CC!AK40-CC!AL40-CC!AM40</f>
        <v>-1.5</v>
      </c>
      <c r="AK40" s="817">
        <f>'BANG LUONG 1'!$N$1-CC!AJ40-CC!AK40-CC!AM40-1</f>
        <v>-2</v>
      </c>
      <c r="AL40" s="112">
        <f t="shared" si="0"/>
        <v>0</v>
      </c>
      <c r="AM40" s="116">
        <f t="shared" si="1"/>
        <v>0</v>
      </c>
      <c r="AN40" s="116">
        <f t="shared" si="2"/>
        <v>0</v>
      </c>
      <c r="AO40" s="116">
        <f t="shared" si="3"/>
        <v>0</v>
      </c>
      <c r="AP40" s="115">
        <f t="shared" si="4"/>
        <v>0</v>
      </c>
    </row>
    <row r="41" spans="1:42">
      <c r="A41" s="437">
        <v>38</v>
      </c>
      <c r="B41" s="437" t="s">
        <v>154</v>
      </c>
      <c r="C41" s="437" t="s">
        <v>78</v>
      </c>
      <c r="D41" s="437" t="s">
        <v>207</v>
      </c>
      <c r="H41" s="421"/>
      <c r="I41" s="421"/>
      <c r="J41" s="421"/>
      <c r="K41" s="421"/>
      <c r="L41" s="421"/>
      <c r="M41" s="421"/>
      <c r="N41" s="421"/>
      <c r="O41" s="421"/>
      <c r="P41" s="421"/>
      <c r="Q41" s="421"/>
      <c r="R41" s="421"/>
      <c r="S41" s="421"/>
      <c r="T41" s="421"/>
      <c r="U41" s="421"/>
      <c r="V41" s="421"/>
      <c r="W41" s="421"/>
      <c r="X41" s="421"/>
      <c r="Y41" s="421"/>
      <c r="Z41" s="421"/>
      <c r="AA41" s="421"/>
      <c r="AB41" s="421"/>
      <c r="AC41" s="421"/>
      <c r="AD41" s="421"/>
      <c r="AE41" s="421"/>
      <c r="AF41" s="421"/>
      <c r="AG41" s="421"/>
      <c r="AH41" s="421"/>
      <c r="AI41" s="421"/>
      <c r="AJ41" s="112">
        <f>'BANG LUONG 1'!$N$1-CC!AJ41-CC!AK41-CC!AL41-CC!AM41</f>
        <v>-1</v>
      </c>
      <c r="AK41" s="817">
        <f>'BANG LUONG 1'!$N$1-CC!AJ41-CC!AK41-CC!AM41-1</f>
        <v>-2</v>
      </c>
      <c r="AL41" s="112">
        <f t="shared" si="0"/>
        <v>0</v>
      </c>
      <c r="AM41" s="116">
        <f t="shared" si="1"/>
        <v>0</v>
      </c>
      <c r="AN41" s="116">
        <f t="shared" si="2"/>
        <v>0</v>
      </c>
      <c r="AO41" s="116">
        <f t="shared" si="3"/>
        <v>0</v>
      </c>
      <c r="AP41" s="115">
        <f t="shared" si="4"/>
        <v>0</v>
      </c>
    </row>
    <row r="42" spans="1:42">
      <c r="A42" s="437"/>
      <c r="B42" s="437" t="s">
        <v>155</v>
      </c>
      <c r="C42" s="437" t="s">
        <v>620</v>
      </c>
      <c r="D42" s="437" t="s">
        <v>207</v>
      </c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V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  <c r="AG42" s="421"/>
      <c r="AH42" s="421"/>
      <c r="AI42" s="421"/>
      <c r="AJ42" s="112">
        <f>'BANG LUONG 1'!$N$1-CC!AJ16-CC!AK16-CC!AL16-CC!AM16</f>
        <v>-1</v>
      </c>
      <c r="AK42" s="817">
        <f>'BANG LUONG 1'!$N$1-CC!AJ16-CC!AK16-CC!AM16-1</f>
        <v>-2</v>
      </c>
      <c r="AL42" s="112">
        <f t="shared" si="0"/>
        <v>0</v>
      </c>
      <c r="AM42" s="116">
        <f t="shared" si="1"/>
        <v>0</v>
      </c>
      <c r="AN42" s="116">
        <f t="shared" si="2"/>
        <v>0</v>
      </c>
      <c r="AO42" s="116">
        <f t="shared" si="3"/>
        <v>0</v>
      </c>
      <c r="AP42" s="115">
        <f t="shared" si="4"/>
        <v>0</v>
      </c>
    </row>
    <row r="43" spans="1:42">
      <c r="A43" s="437"/>
      <c r="B43" s="437" t="s">
        <v>156</v>
      </c>
      <c r="C43" s="437" t="s">
        <v>821</v>
      </c>
      <c r="D43" s="437" t="s">
        <v>207</v>
      </c>
      <c r="H43" s="421"/>
      <c r="I43" s="421"/>
      <c r="J43" s="421"/>
      <c r="K43" s="421"/>
      <c r="L43" s="421"/>
      <c r="M43" s="421"/>
      <c r="N43" s="421"/>
      <c r="O43" s="421"/>
      <c r="P43" s="421"/>
      <c r="Q43" s="421"/>
      <c r="R43" s="421"/>
      <c r="S43" s="421"/>
      <c r="T43" s="421"/>
      <c r="U43" s="421"/>
      <c r="V43" s="421"/>
      <c r="W43" s="421"/>
      <c r="X43" s="421"/>
      <c r="Y43" s="421"/>
      <c r="Z43" s="421"/>
      <c r="AA43" s="421"/>
      <c r="AB43" s="421"/>
      <c r="AC43" s="421"/>
      <c r="AD43" s="421"/>
      <c r="AE43" s="421"/>
      <c r="AF43" s="421"/>
      <c r="AG43" s="421"/>
      <c r="AH43" s="421"/>
      <c r="AI43" s="421"/>
      <c r="AJ43" s="112">
        <f>'BANG LUONG 1'!$N$1-CC!AJ42-CC!AK42-CC!AL42-CC!AM42</f>
        <v>-1</v>
      </c>
      <c r="AK43" s="817">
        <f>'BANG LUONG 1'!$N$1-CC!AJ42-CC!AK42-CC!AM42-1</f>
        <v>-2</v>
      </c>
      <c r="AL43" s="112">
        <f t="shared" si="0"/>
        <v>0</v>
      </c>
      <c r="AM43" s="116">
        <f t="shared" si="1"/>
        <v>0</v>
      </c>
      <c r="AN43" s="116">
        <f t="shared" si="2"/>
        <v>0</v>
      </c>
      <c r="AO43" s="116">
        <f t="shared" si="3"/>
        <v>0</v>
      </c>
      <c r="AP43" s="115">
        <f t="shared" si="4"/>
        <v>0</v>
      </c>
    </row>
    <row r="44" spans="1:42">
      <c r="A44" s="437"/>
      <c r="B44" s="437" t="s">
        <v>158</v>
      </c>
      <c r="C44" s="437" t="s">
        <v>822</v>
      </c>
      <c r="D44" s="437" t="s">
        <v>207</v>
      </c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421"/>
      <c r="AG44" s="421"/>
      <c r="AH44" s="421"/>
      <c r="AI44" s="421"/>
      <c r="AJ44" s="112">
        <f>'BANG LUONG 1'!$N$1-CC!AJ43-CC!AK43-CC!AL43-CC!AM43</f>
        <v>-1</v>
      </c>
      <c r="AK44" s="817">
        <f>'BANG LUONG 1'!$N$1-CC!AJ43-CC!AK43-CC!AM43-1</f>
        <v>-2</v>
      </c>
      <c r="AL44" s="112">
        <f t="shared" si="0"/>
        <v>0</v>
      </c>
      <c r="AM44" s="116">
        <f t="shared" si="1"/>
        <v>0</v>
      </c>
      <c r="AN44" s="116">
        <f t="shared" si="2"/>
        <v>0</v>
      </c>
      <c r="AO44" s="116">
        <f t="shared" si="3"/>
        <v>0</v>
      </c>
      <c r="AP44" s="115">
        <f t="shared" si="4"/>
        <v>0</v>
      </c>
    </row>
    <row r="45" spans="1:42">
      <c r="A45" s="862"/>
      <c r="B45" s="862" t="s">
        <v>162</v>
      </c>
      <c r="C45" s="862" t="s">
        <v>831</v>
      </c>
      <c r="D45" s="862" t="s">
        <v>207</v>
      </c>
      <c r="E45" s="811"/>
      <c r="F45" s="811"/>
      <c r="G45" s="811"/>
      <c r="H45" s="812"/>
      <c r="I45" s="812"/>
      <c r="J45" s="812"/>
      <c r="K45" s="812"/>
      <c r="L45" s="812"/>
      <c r="M45" s="812"/>
      <c r="N45" s="812"/>
      <c r="O45" s="812"/>
      <c r="P45" s="812"/>
      <c r="Q45" s="812"/>
      <c r="R45" s="812"/>
      <c r="S45" s="812"/>
      <c r="T45" s="812"/>
      <c r="U45" s="812"/>
      <c r="V45" s="812"/>
      <c r="W45" s="812"/>
      <c r="X45" s="812"/>
      <c r="Y45" s="812"/>
      <c r="Z45" s="812"/>
      <c r="AA45" s="812"/>
      <c r="AB45" s="812"/>
      <c r="AC45" s="812"/>
      <c r="AD45" s="812"/>
      <c r="AE45" s="812"/>
      <c r="AF45" s="812"/>
      <c r="AG45" s="812"/>
      <c r="AH45" s="812"/>
      <c r="AI45" s="812"/>
      <c r="AJ45" s="112">
        <f>'BANG LUONG 1'!$N$1-CC!AJ44-CC!AK44-CC!AL44-CC!AM44</f>
        <v>-1</v>
      </c>
      <c r="AK45" s="817">
        <f>'BANG LUONG 1'!$N$1-CC!AJ44-CC!AK44-CC!AM44-1</f>
        <v>-2</v>
      </c>
      <c r="AL45" s="112">
        <f t="shared" ref="AL45" si="5">COUNTIF(E45:AI45,"NB")</f>
        <v>0</v>
      </c>
      <c r="AM45" s="116">
        <f t="shared" ref="AM45" si="6">IF(AJ45&gt;=1,100%,0)</f>
        <v>0</v>
      </c>
      <c r="AN45" s="116">
        <f t="shared" ref="AN45" si="7">IF(AK45&lt;1,0,IF(AK45=1,50%,IF(AK45&lt;=2,75%,IF(AK45&gt;2,100%,0))))</f>
        <v>0</v>
      </c>
      <c r="AO45" s="116">
        <f t="shared" ref="AO45" si="8">IF(AL45&lt;1,0,IF(AL45=1,25%,IF(AL45&lt;=2,50%,IF(AL45&lt;=3,75%,IF(AL45&gt;=4,100%,0)))))</f>
        <v>0</v>
      </c>
      <c r="AP45" s="115">
        <f t="shared" ref="AP45" si="9">IF(SUM(AM45:AO45)&lt;=100%,SUM(AM45:AO45),100%)</f>
        <v>0</v>
      </c>
    </row>
    <row r="46" spans="1:42">
      <c r="A46" s="862"/>
      <c r="B46" s="862"/>
      <c r="C46" s="862" t="s">
        <v>893</v>
      </c>
      <c r="D46" s="862" t="s">
        <v>207</v>
      </c>
      <c r="E46" s="811"/>
      <c r="F46" s="811"/>
      <c r="G46" s="811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112">
        <f>'BANG LUONG 1'!$N$1-CC!AJ45-CC!AK45-CC!AL45-CC!AM45</f>
        <v>-1</v>
      </c>
      <c r="AK46" s="817">
        <f>'BANG LUONG 1'!$N$1-CC!AJ45-CC!AK45-CC!AM45-1</f>
        <v>-2</v>
      </c>
      <c r="AL46" s="112">
        <f t="shared" ref="AL46" si="10">COUNTIF(E46:AI46,"NB")</f>
        <v>0</v>
      </c>
      <c r="AM46" s="116">
        <f t="shared" ref="AM46" si="11">IF(AJ46&gt;=1,100%,0)</f>
        <v>0</v>
      </c>
      <c r="AN46" s="116">
        <f t="shared" ref="AN46" si="12">IF(AK46&lt;1,0,IF(AK46=1,50%,IF(AK46&lt;=2,75%,IF(AK46&gt;2,100%,0))))</f>
        <v>0</v>
      </c>
      <c r="AO46" s="116">
        <f t="shared" ref="AO46" si="13">IF(AL46&lt;1,0,IF(AL46=1,25%,IF(AL46&lt;=2,50%,IF(AL46&lt;=3,75%,IF(AL46&gt;=4,100%,0)))))</f>
        <v>0</v>
      </c>
      <c r="AP46" s="115">
        <f t="shared" ref="AP46" si="14">IF(SUM(AM46:AO46)&lt;=100%,SUM(AM46:AO46),100%)</f>
        <v>0</v>
      </c>
    </row>
    <row r="47" spans="1:42">
      <c r="A47" s="862"/>
      <c r="B47" s="862"/>
      <c r="C47" s="862" t="s">
        <v>913</v>
      </c>
      <c r="D47" s="862" t="s">
        <v>207</v>
      </c>
      <c r="E47" s="811"/>
      <c r="F47" s="811"/>
      <c r="G47" s="811"/>
      <c r="H47" s="812"/>
      <c r="I47" s="812"/>
      <c r="J47" s="812"/>
      <c r="K47" s="812"/>
      <c r="L47" s="812"/>
      <c r="M47" s="812"/>
      <c r="N47" s="812"/>
      <c r="O47" s="812"/>
      <c r="P47" s="812"/>
      <c r="Q47" s="812"/>
      <c r="R47" s="812"/>
      <c r="S47" s="812"/>
      <c r="T47" s="812"/>
      <c r="U47" s="812"/>
      <c r="V47" s="812"/>
      <c r="W47" s="812"/>
      <c r="X47" s="812"/>
      <c r="Y47" s="812"/>
      <c r="Z47" s="812"/>
      <c r="AA47" s="812"/>
      <c r="AB47" s="812"/>
      <c r="AC47" s="812"/>
      <c r="AD47" s="812"/>
      <c r="AE47" s="812"/>
      <c r="AF47" s="812"/>
      <c r="AG47" s="812"/>
      <c r="AH47" s="812"/>
      <c r="AI47" s="812"/>
      <c r="AJ47" s="112">
        <f>'BANG LUONG 1'!$N$1-CC!AJ46-CC!AK46-CC!AL46-CC!AM46</f>
        <v>-1</v>
      </c>
      <c r="AK47" s="817">
        <f>'BANG LUONG 1'!$N$1-CC!AJ46-CC!AK46-CC!AM46-1</f>
        <v>-2</v>
      </c>
      <c r="AL47" s="112">
        <f t="shared" ref="AL47" si="15">COUNTIF(E47:AI47,"NB")</f>
        <v>0</v>
      </c>
      <c r="AM47" s="116">
        <f t="shared" ref="AM47" si="16">IF(AJ47&gt;=1,100%,0)</f>
        <v>0</v>
      </c>
      <c r="AN47" s="116">
        <f t="shared" ref="AN47" si="17">IF(AK47&lt;1,0,IF(AK47=1,50%,IF(AK47&lt;=2,75%,IF(AK47&gt;2,100%,0))))</f>
        <v>0</v>
      </c>
      <c r="AO47" s="116">
        <f t="shared" ref="AO47" si="18">IF(AL47&lt;1,0,IF(AL47=1,25%,IF(AL47&lt;=2,50%,IF(AL47&lt;=3,75%,IF(AL47&gt;=4,100%,0)))))</f>
        <v>0</v>
      </c>
      <c r="AP47" s="115">
        <f t="shared" ref="AP47" si="19">IF(SUM(AM47:AO47)&lt;=100%,SUM(AM47:AO47),100%)</f>
        <v>0</v>
      </c>
    </row>
    <row r="48" spans="1:42">
      <c r="A48" s="425">
        <v>42</v>
      </c>
      <c r="B48" s="425"/>
      <c r="C48" s="425" t="s">
        <v>740</v>
      </c>
      <c r="D48" s="425"/>
      <c r="H48" s="421"/>
      <c r="I48" s="421"/>
      <c r="J48" s="421"/>
      <c r="K48" s="421"/>
      <c r="L48" s="421"/>
      <c r="M48" s="421"/>
      <c r="N48" s="421"/>
      <c r="O48" s="421"/>
      <c r="P48" s="421"/>
      <c r="Q48" s="421"/>
      <c r="R48" s="421"/>
      <c r="S48" s="421"/>
      <c r="T48" s="421"/>
      <c r="U48" s="421"/>
      <c r="V48" s="421"/>
      <c r="W48" s="421"/>
      <c r="X48" s="421"/>
      <c r="Y48" s="421"/>
      <c r="Z48" s="421"/>
      <c r="AA48" s="421"/>
      <c r="AB48" s="421"/>
      <c r="AC48" s="421"/>
      <c r="AD48" s="421"/>
      <c r="AE48" s="421"/>
      <c r="AF48" s="421"/>
      <c r="AG48" s="421"/>
      <c r="AH48" s="421"/>
      <c r="AI48" s="812"/>
      <c r="AJ48" s="812"/>
      <c r="AK48" s="812"/>
      <c r="AL48" s="812"/>
      <c r="AM48" s="812"/>
      <c r="AN48" s="812"/>
      <c r="AO48" s="812"/>
      <c r="AP48" s="812"/>
    </row>
    <row r="49" spans="1:42">
      <c r="A49" s="668">
        <v>43</v>
      </c>
      <c r="B49" s="437" t="s">
        <v>159</v>
      </c>
      <c r="C49" s="668" t="s">
        <v>65</v>
      </c>
      <c r="D49" s="668" t="s">
        <v>829</v>
      </c>
      <c r="H49" s="421"/>
      <c r="I49" s="421"/>
      <c r="J49" s="421"/>
      <c r="K49" s="421"/>
      <c r="L49" s="421"/>
      <c r="M49" s="421"/>
      <c r="N49" s="421"/>
      <c r="O49" s="421"/>
      <c r="P49" s="421"/>
      <c r="Q49" s="421"/>
      <c r="R49" s="421"/>
      <c r="S49" s="421"/>
      <c r="T49" s="421"/>
      <c r="U49" s="421"/>
      <c r="V49" s="421"/>
      <c r="W49" s="421"/>
      <c r="X49" s="421"/>
      <c r="Y49" s="421"/>
      <c r="Z49" s="421"/>
      <c r="AA49" s="421"/>
      <c r="AB49" s="421"/>
      <c r="AC49" s="421"/>
      <c r="AD49" s="421"/>
      <c r="AE49" s="421"/>
      <c r="AF49" s="421"/>
      <c r="AG49" s="421"/>
      <c r="AH49" s="421"/>
      <c r="AI49" s="421"/>
      <c r="AJ49" s="112">
        <f>'BANG LUONG 1'!$N$1-CC!AJ48-CC!AK48-CC!AL48-CC!AM48</f>
        <v>-1</v>
      </c>
      <c r="AK49" s="817">
        <f>'BANG LUONG 1'!$N$1-CC!AJ48-CC!AK48-CC!AM48-1</f>
        <v>-2</v>
      </c>
      <c r="AL49" s="112">
        <f t="shared" si="0"/>
        <v>0</v>
      </c>
      <c r="AM49" s="116">
        <f t="shared" si="1"/>
        <v>0</v>
      </c>
      <c r="AN49" s="116">
        <f t="shared" si="2"/>
        <v>0</v>
      </c>
      <c r="AO49" s="116">
        <f t="shared" si="3"/>
        <v>0</v>
      </c>
      <c r="AP49" s="115">
        <f t="shared" si="4"/>
        <v>0</v>
      </c>
    </row>
    <row r="50" spans="1:42">
      <c r="A50" s="888">
        <v>44</v>
      </c>
      <c r="B50" s="889" t="s">
        <v>160</v>
      </c>
      <c r="C50" s="889" t="s">
        <v>239</v>
      </c>
      <c r="D50" s="889" t="s">
        <v>207</v>
      </c>
      <c r="H50" s="890"/>
      <c r="I50" s="890"/>
      <c r="J50" s="890"/>
      <c r="K50" s="890"/>
      <c r="L50" s="890"/>
      <c r="M50" s="890"/>
      <c r="N50" s="890"/>
      <c r="O50" s="890"/>
      <c r="P50" s="890"/>
      <c r="Q50" s="890"/>
      <c r="R50" s="890"/>
      <c r="S50" s="890"/>
      <c r="T50" s="890"/>
      <c r="U50" s="890"/>
      <c r="V50" s="890"/>
      <c r="W50" s="890"/>
      <c r="X50" s="890"/>
      <c r="Y50" s="890"/>
      <c r="Z50" s="890"/>
      <c r="AA50" s="890"/>
      <c r="AB50" s="890"/>
      <c r="AC50" s="890"/>
      <c r="AD50" s="890"/>
      <c r="AE50" s="890"/>
      <c r="AF50" s="890"/>
      <c r="AG50" s="890"/>
      <c r="AH50" s="890"/>
      <c r="AI50" s="890"/>
      <c r="AJ50" s="112">
        <f>'BANG LUONG 1'!$N$1-CC!AJ49-CC!AK49-CC!AL49-CC!AM49</f>
        <v>-1</v>
      </c>
      <c r="AK50" s="817">
        <f>'BANG LUONG 1'!$N$1-CC!AJ49-CC!AK49-CC!AM49-1</f>
        <v>-2</v>
      </c>
      <c r="AL50" s="112">
        <f t="shared" si="0"/>
        <v>0</v>
      </c>
      <c r="AM50" s="116">
        <f t="shared" si="1"/>
        <v>0</v>
      </c>
      <c r="AN50" s="116">
        <f t="shared" si="2"/>
        <v>0</v>
      </c>
      <c r="AO50" s="116">
        <f t="shared" si="3"/>
        <v>0</v>
      </c>
      <c r="AP50" s="115">
        <f t="shared" si="4"/>
        <v>0</v>
      </c>
    </row>
    <row r="51" spans="1:42">
      <c r="A51" s="668">
        <v>45</v>
      </c>
      <c r="B51" s="437" t="s">
        <v>161</v>
      </c>
      <c r="C51" s="437" t="s">
        <v>589</v>
      </c>
      <c r="D51" s="437" t="s">
        <v>207</v>
      </c>
      <c r="E51" s="421"/>
      <c r="F51" s="421"/>
      <c r="G51" s="421"/>
      <c r="H51" s="421"/>
      <c r="I51" s="421"/>
      <c r="J51" s="421"/>
      <c r="K51" s="421"/>
      <c r="L51" s="421"/>
      <c r="M51" s="421"/>
      <c r="N51" s="421"/>
      <c r="O51" s="421"/>
      <c r="P51" s="421"/>
      <c r="Q51" s="421"/>
      <c r="R51" s="421"/>
      <c r="S51" s="421"/>
      <c r="T51" s="421"/>
      <c r="U51" s="421"/>
      <c r="V51" s="421"/>
      <c r="W51" s="421"/>
      <c r="X51" s="421"/>
      <c r="Y51" s="421"/>
      <c r="Z51" s="421"/>
      <c r="AA51" s="421"/>
      <c r="AB51" s="421"/>
      <c r="AC51" s="421"/>
      <c r="AD51" s="421"/>
      <c r="AE51" s="421"/>
      <c r="AF51" s="421"/>
      <c r="AG51" s="421"/>
      <c r="AH51" s="421"/>
      <c r="AI51" s="421"/>
      <c r="AJ51" s="112">
        <f>'BANG LUONG 1'!$N$1-CC!AJ50-CC!AK50-CC!AL50-CC!AM50</f>
        <v>-1</v>
      </c>
      <c r="AK51" s="817">
        <f>'BANG LUONG 1'!$N$1-CC!AJ50-CC!AK50-CC!AM50-1</f>
        <v>-2</v>
      </c>
      <c r="AL51" s="112">
        <f t="shared" si="0"/>
        <v>0</v>
      </c>
      <c r="AM51" s="116">
        <f t="shared" si="1"/>
        <v>0</v>
      </c>
      <c r="AN51" s="116">
        <f t="shared" si="2"/>
        <v>0</v>
      </c>
      <c r="AO51" s="116">
        <f t="shared" si="3"/>
        <v>0</v>
      </c>
      <c r="AP51" s="115">
        <f t="shared" si="4"/>
        <v>0</v>
      </c>
    </row>
    <row r="52" spans="1:42">
      <c r="A52" s="421"/>
      <c r="B52" s="421" t="s">
        <v>165</v>
      </c>
      <c r="C52" s="421" t="s">
        <v>890</v>
      </c>
      <c r="D52" s="421" t="s">
        <v>777</v>
      </c>
      <c r="E52" s="421"/>
      <c r="F52" s="421"/>
      <c r="G52" s="421"/>
      <c r="H52" s="421"/>
      <c r="I52" s="421"/>
      <c r="J52" s="421"/>
      <c r="K52" s="421"/>
      <c r="L52" s="421"/>
      <c r="M52" s="421"/>
      <c r="N52" s="421"/>
      <c r="O52" s="421"/>
      <c r="P52" s="421"/>
      <c r="Q52" s="421"/>
      <c r="R52" s="421"/>
      <c r="S52" s="421"/>
      <c r="T52" s="421"/>
      <c r="U52" s="421"/>
      <c r="V52" s="421"/>
      <c r="W52" s="421"/>
      <c r="X52" s="421"/>
      <c r="Y52" s="421"/>
      <c r="Z52" s="421"/>
      <c r="AA52" s="421"/>
      <c r="AB52" s="421"/>
      <c r="AC52" s="421"/>
      <c r="AD52" s="421"/>
      <c r="AE52" s="421"/>
      <c r="AF52" s="421"/>
      <c r="AG52" s="421"/>
      <c r="AH52" s="421"/>
      <c r="AI52" s="421"/>
      <c r="AJ52" s="112">
        <f>'BANG LUONG 1'!$N$1-CC!AJ51-CC!AK51-CC!AL51-CC!AM51</f>
        <v>-1</v>
      </c>
      <c r="AK52" s="817">
        <f>'BANG LUONG 1'!$N$1-CC!AJ51-CC!AK51-CC!AM51-1</f>
        <v>-2</v>
      </c>
      <c r="AL52" s="112">
        <f t="shared" si="0"/>
        <v>0</v>
      </c>
      <c r="AM52" s="116">
        <f t="shared" si="1"/>
        <v>0</v>
      </c>
      <c r="AN52" s="116">
        <f t="shared" si="2"/>
        <v>0</v>
      </c>
      <c r="AO52" s="116">
        <f t="shared" si="3"/>
        <v>0</v>
      </c>
      <c r="AP52" s="115">
        <f t="shared" si="4"/>
        <v>0</v>
      </c>
    </row>
    <row r="53" spans="1:42">
      <c r="C53" t="s">
        <v>899</v>
      </c>
      <c r="AJ53" s="112">
        <f>'BANG LUONG 1'!$N$1-CC!AJ52-CC!AK52-CC!AL52-CC!AM52</f>
        <v>-1</v>
      </c>
      <c r="AK53" s="817">
        <f>'BANG LUONG 1'!$N$1-CC!AJ52-CC!AK52-CC!AM52-1</f>
        <v>-2</v>
      </c>
      <c r="AL53" s="112">
        <f t="shared" ref="AL53" si="20">COUNTIF(E53:AI53,"NB")</f>
        <v>0</v>
      </c>
      <c r="AM53" s="116">
        <f t="shared" ref="AM53" si="21">IF(AJ53&gt;=1,100%,0)</f>
        <v>0</v>
      </c>
      <c r="AN53" s="116">
        <f t="shared" ref="AN53" si="22">IF(AK53&lt;1,0,IF(AK53=1,50%,IF(AK53&lt;=2,75%,IF(AK53&gt;2,100%,0))))</f>
        <v>0</v>
      </c>
      <c r="AO53" s="116">
        <f t="shared" ref="AO53" si="23">IF(AL53&lt;1,0,IF(AL53=1,25%,IF(AL53&lt;=2,50%,IF(AL53&lt;=3,75%,IF(AL53&gt;=4,100%,0)))))</f>
        <v>0</v>
      </c>
      <c r="AP53" s="115">
        <f t="shared" ref="AP53" si="24">IF(SUM(AM53:AO53)&lt;=100%,SUM(AM53:AO53),100%)</f>
        <v>0</v>
      </c>
    </row>
  </sheetData>
  <mergeCells count="8">
    <mergeCell ref="E3:AI3"/>
    <mergeCell ref="AO3:AO4"/>
    <mergeCell ref="AP3:AP4"/>
    <mergeCell ref="AJ3:AJ4"/>
    <mergeCell ref="AK3:AK4"/>
    <mergeCell ref="AL3:AL4"/>
    <mergeCell ref="AM3:AM4"/>
    <mergeCell ref="AN3:AN4"/>
  </mergeCell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9" tint="0.39997558519241921"/>
    <pageSetUpPr fitToPage="1"/>
  </sheetPr>
  <dimension ref="A1:BT56"/>
  <sheetViews>
    <sheetView topLeftCell="A43" workbookViewId="0">
      <selection activeCell="AJ14" sqref="AJ14"/>
    </sheetView>
  </sheetViews>
  <sheetFormatPr defaultRowHeight="14.4"/>
  <cols>
    <col min="1" max="1" width="4.109375" bestFit="1" customWidth="1"/>
    <col min="2" max="2" width="7.88671875" customWidth="1"/>
    <col min="3" max="3" width="18.44140625" customWidth="1"/>
    <col min="4" max="4" width="11.109375" customWidth="1"/>
    <col min="5" max="7" width="5.5546875" style="54" bestFit="1" customWidth="1"/>
    <col min="8" max="8" width="3.5546875" style="54" bestFit="1" customWidth="1"/>
    <col min="9" max="14" width="5.5546875" style="54" bestFit="1" customWidth="1"/>
    <col min="15" max="15" width="3.5546875" style="54" bestFit="1" customWidth="1"/>
    <col min="16" max="21" width="5.5546875" style="54" bestFit="1" customWidth="1"/>
    <col min="22" max="22" width="3.5546875" style="54" bestFit="1" customWidth="1"/>
    <col min="23" max="28" width="5.5546875" style="54" bestFit="1" customWidth="1"/>
    <col min="29" max="29" width="3.5546875" style="54" bestFit="1" customWidth="1"/>
    <col min="30" max="35" width="5.33203125" style="54" bestFit="1" customWidth="1"/>
    <col min="36" max="36" width="8.88671875" customWidth="1"/>
    <col min="37" max="37" width="7.5546875" customWidth="1"/>
    <col min="38" max="39" width="8.6640625" customWidth="1"/>
    <col min="40" max="42" width="4.6640625" style="78" customWidth="1"/>
    <col min="43" max="44" width="6.88671875" style="78" bestFit="1" customWidth="1"/>
    <col min="45" max="63" width="4.6640625" style="78" customWidth="1"/>
    <col min="64" max="64" width="6.88671875" style="78" bestFit="1" customWidth="1"/>
    <col min="65" max="70" width="4.6640625" style="78" customWidth="1"/>
    <col min="71" max="72" width="13.44140625" customWidth="1"/>
  </cols>
  <sheetData>
    <row r="1" spans="1:72">
      <c r="A1" s="1"/>
      <c r="B1" s="1"/>
      <c r="C1" s="1"/>
      <c r="D1" s="1"/>
    </row>
    <row r="2" spans="1:72">
      <c r="A2" s="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  <c r="AJ2" s="1">
        <v>34</v>
      </c>
      <c r="AK2" s="1">
        <v>35</v>
      </c>
      <c r="AL2" s="1">
        <v>36</v>
      </c>
      <c r="AM2" s="1">
        <v>37</v>
      </c>
      <c r="AN2" s="147">
        <v>38</v>
      </c>
      <c r="AO2" s="147">
        <v>39</v>
      </c>
      <c r="AP2" s="147">
        <v>40</v>
      </c>
      <c r="AQ2" s="147">
        <v>41</v>
      </c>
      <c r="AR2" s="147">
        <v>42</v>
      </c>
      <c r="AS2" s="147">
        <v>43</v>
      </c>
      <c r="AT2" s="147">
        <v>44</v>
      </c>
      <c r="AU2" s="147">
        <v>45</v>
      </c>
      <c r="AV2" s="147">
        <v>46</v>
      </c>
      <c r="AW2" s="147">
        <v>47</v>
      </c>
      <c r="AX2" s="147">
        <v>48</v>
      </c>
      <c r="AY2" s="147">
        <v>49</v>
      </c>
      <c r="AZ2" s="147">
        <v>50</v>
      </c>
      <c r="BA2" s="147">
        <v>51</v>
      </c>
      <c r="BB2" s="147">
        <v>52</v>
      </c>
      <c r="BC2" s="147">
        <v>53</v>
      </c>
      <c r="BD2" s="147">
        <v>54</v>
      </c>
      <c r="BE2" s="147">
        <v>55</v>
      </c>
      <c r="BF2" s="147">
        <v>56</v>
      </c>
      <c r="BG2" s="147">
        <v>57</v>
      </c>
      <c r="BH2" s="147">
        <v>58</v>
      </c>
      <c r="BI2" s="147">
        <v>59</v>
      </c>
      <c r="BJ2" s="147">
        <v>60</v>
      </c>
      <c r="BK2" s="147">
        <v>61</v>
      </c>
      <c r="BL2" s="147">
        <v>62</v>
      </c>
      <c r="BM2" s="147">
        <v>63</v>
      </c>
      <c r="BN2" s="147">
        <v>64</v>
      </c>
      <c r="BO2" s="147">
        <v>65</v>
      </c>
      <c r="BP2" s="147">
        <v>66</v>
      </c>
      <c r="BQ2" s="147">
        <v>67</v>
      </c>
      <c r="BR2" s="147">
        <v>68</v>
      </c>
      <c r="BS2" s="1">
        <v>69</v>
      </c>
      <c r="BT2" s="1">
        <v>70</v>
      </c>
    </row>
    <row r="3" spans="1:72" ht="15" customHeight="1">
      <c r="A3" s="101"/>
      <c r="B3" s="101"/>
      <c r="C3" s="101"/>
      <c r="D3" s="101"/>
      <c r="E3" s="996" t="s">
        <v>355</v>
      </c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996"/>
      <c r="T3" s="996"/>
      <c r="U3" s="996"/>
      <c r="V3" s="996"/>
      <c r="W3" s="996"/>
      <c r="X3" s="996"/>
      <c r="Y3" s="996"/>
      <c r="Z3" s="996"/>
      <c r="AA3" s="996"/>
      <c r="AB3" s="996"/>
      <c r="AC3" s="996"/>
      <c r="AD3" s="996"/>
      <c r="AE3" s="996"/>
      <c r="AF3" s="996"/>
      <c r="AG3" s="996"/>
      <c r="AH3" s="996"/>
      <c r="AI3" s="996"/>
      <c r="AJ3" s="1001" t="s">
        <v>379</v>
      </c>
      <c r="AK3" s="1002"/>
      <c r="AL3" s="1001" t="s">
        <v>380</v>
      </c>
      <c r="AM3" s="1002"/>
      <c r="AN3" s="1003" t="s">
        <v>378</v>
      </c>
      <c r="AO3" s="1003"/>
      <c r="AP3" s="1003"/>
      <c r="AQ3" s="1003"/>
      <c r="AR3" s="1003"/>
      <c r="AS3" s="1003"/>
      <c r="AT3" s="1003"/>
      <c r="AU3" s="1003"/>
      <c r="AV3" s="1003"/>
      <c r="AW3" s="1003"/>
      <c r="AX3" s="1003"/>
      <c r="AY3" s="1003"/>
      <c r="AZ3" s="1003"/>
      <c r="BA3" s="1003"/>
      <c r="BB3" s="1003"/>
      <c r="BC3" s="1003"/>
      <c r="BD3" s="1003"/>
      <c r="BE3" s="1003"/>
      <c r="BF3" s="1003"/>
      <c r="BG3" s="1003"/>
      <c r="BH3" s="1003"/>
      <c r="BI3" s="1003"/>
      <c r="BJ3" s="1003"/>
      <c r="BK3" s="1003"/>
      <c r="BL3" s="1003"/>
      <c r="BM3" s="1003"/>
      <c r="BN3" s="1003"/>
      <c r="BO3" s="1003"/>
      <c r="BP3" s="1003"/>
      <c r="BQ3" s="1003"/>
      <c r="BR3" s="1003"/>
      <c r="BS3" s="1001" t="s">
        <v>357</v>
      </c>
      <c r="BT3" s="1002"/>
    </row>
    <row r="4" spans="1:72" ht="22.5" customHeight="1">
      <c r="A4" s="102" t="s">
        <v>0</v>
      </c>
      <c r="B4" s="102" t="s">
        <v>284</v>
      </c>
      <c r="C4" s="102" t="s">
        <v>2</v>
      </c>
      <c r="D4" s="103" t="s">
        <v>3</v>
      </c>
      <c r="E4" s="104">
        <v>1</v>
      </c>
      <c r="F4" s="104">
        <v>2</v>
      </c>
      <c r="G4" s="104">
        <v>3</v>
      </c>
      <c r="H4" s="104" t="s">
        <v>384</v>
      </c>
      <c r="I4" s="104">
        <v>5</v>
      </c>
      <c r="J4" s="104">
        <v>6</v>
      </c>
      <c r="K4" s="104">
        <v>7</v>
      </c>
      <c r="L4" s="104">
        <v>8</v>
      </c>
      <c r="M4" s="104">
        <v>9</v>
      </c>
      <c r="N4" s="104">
        <v>10</v>
      </c>
      <c r="O4" s="104" t="s">
        <v>384</v>
      </c>
      <c r="P4" s="104">
        <v>12</v>
      </c>
      <c r="Q4" s="104">
        <v>13</v>
      </c>
      <c r="R4" s="104">
        <v>14</v>
      </c>
      <c r="S4" s="104">
        <v>15</v>
      </c>
      <c r="T4" s="104">
        <v>16</v>
      </c>
      <c r="U4" s="104">
        <v>17</v>
      </c>
      <c r="V4" s="104" t="s">
        <v>384</v>
      </c>
      <c r="W4" s="104">
        <v>19</v>
      </c>
      <c r="X4" s="104">
        <v>20</v>
      </c>
      <c r="Y4" s="104">
        <v>21</v>
      </c>
      <c r="Z4" s="104">
        <v>22</v>
      </c>
      <c r="AA4" s="104">
        <v>23</v>
      </c>
      <c r="AB4" s="104">
        <v>24</v>
      </c>
      <c r="AC4" s="104" t="s">
        <v>384</v>
      </c>
      <c r="AD4" s="104">
        <v>26</v>
      </c>
      <c r="AE4" s="104">
        <v>27</v>
      </c>
      <c r="AF4" s="104">
        <v>28</v>
      </c>
      <c r="AG4" s="104">
        <v>29</v>
      </c>
      <c r="AH4" s="104">
        <v>30</v>
      </c>
      <c r="AI4" s="104">
        <v>31</v>
      </c>
      <c r="AJ4" s="112" t="s">
        <v>381</v>
      </c>
      <c r="AK4" s="112" t="s">
        <v>382</v>
      </c>
      <c r="AL4" s="112" t="s">
        <v>383</v>
      </c>
      <c r="AM4" s="112" t="s">
        <v>382</v>
      </c>
      <c r="AN4" s="112">
        <v>1</v>
      </c>
      <c r="AO4" s="112">
        <v>2</v>
      </c>
      <c r="AP4" s="112">
        <v>3</v>
      </c>
      <c r="AQ4" s="112" t="s">
        <v>384</v>
      </c>
      <c r="AR4" s="112">
        <v>5</v>
      </c>
      <c r="AS4" s="112">
        <v>6</v>
      </c>
      <c r="AT4" s="112">
        <v>7</v>
      </c>
      <c r="AU4" s="112">
        <v>8</v>
      </c>
      <c r="AV4" s="112">
        <v>9</v>
      </c>
      <c r="AW4" s="112">
        <v>10</v>
      </c>
      <c r="AX4" s="112" t="s">
        <v>384</v>
      </c>
      <c r="AY4" s="112">
        <v>12</v>
      </c>
      <c r="AZ4" s="112">
        <v>13</v>
      </c>
      <c r="BA4" s="112">
        <v>14</v>
      </c>
      <c r="BB4" s="112">
        <v>15</v>
      </c>
      <c r="BC4" s="112">
        <v>16</v>
      </c>
      <c r="BD4" s="112">
        <v>17</v>
      </c>
      <c r="BE4" s="112" t="s">
        <v>384</v>
      </c>
      <c r="BF4" s="112">
        <v>19</v>
      </c>
      <c r="BG4" s="112">
        <v>20</v>
      </c>
      <c r="BH4" s="112">
        <v>21</v>
      </c>
      <c r="BI4" s="112">
        <v>22</v>
      </c>
      <c r="BJ4" s="112">
        <v>23</v>
      </c>
      <c r="BK4" s="112">
        <v>24</v>
      </c>
      <c r="BL4" s="112" t="s">
        <v>384</v>
      </c>
      <c r="BM4" s="112">
        <v>26</v>
      </c>
      <c r="BN4" s="112">
        <v>27</v>
      </c>
      <c r="BO4" s="112">
        <v>28</v>
      </c>
      <c r="BP4" s="112">
        <v>29</v>
      </c>
      <c r="BQ4" s="112">
        <v>30</v>
      </c>
      <c r="BR4" s="112">
        <v>31</v>
      </c>
      <c r="BS4" s="112" t="s">
        <v>385</v>
      </c>
      <c r="BT4" s="112" t="s">
        <v>386</v>
      </c>
    </row>
    <row r="5" spans="1:72">
      <c r="A5" s="23" t="s">
        <v>14</v>
      </c>
      <c r="B5" s="23"/>
      <c r="C5" s="23" t="s">
        <v>15</v>
      </c>
      <c r="D5" s="23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13"/>
      <c r="AK5" s="113"/>
      <c r="AL5" s="113"/>
      <c r="AM5" s="113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149"/>
      <c r="BI5" s="149"/>
      <c r="BJ5" s="149"/>
      <c r="BK5" s="149"/>
      <c r="BL5" s="149"/>
      <c r="BM5" s="149"/>
      <c r="BN5" s="149"/>
      <c r="BO5" s="149"/>
      <c r="BP5" s="149"/>
      <c r="BQ5" s="149"/>
      <c r="BR5" s="149"/>
      <c r="BS5" s="113"/>
      <c r="BT5" s="113"/>
    </row>
    <row r="6" spans="1:72" ht="15">
      <c r="A6" s="3">
        <v>45</v>
      </c>
      <c r="B6" s="3" t="str">
        <f>'Bang luong'!B6</f>
        <v>NV45</v>
      </c>
      <c r="C6" s="3" t="str">
        <f>VLOOKUP(B6,'Bang luong'!$B$5:$C$58,2,0)</f>
        <v>Nguyễn Đình Huệ</v>
      </c>
      <c r="D6" s="3" t="str">
        <f>VLOOKUP(B6,'Bang luong'!$B$5:$D$99,3,0)</f>
        <v>Quản đốc SX</v>
      </c>
      <c r="E6" s="138">
        <v>1</v>
      </c>
      <c r="F6" s="138">
        <v>1</v>
      </c>
      <c r="G6" s="138">
        <v>1</v>
      </c>
      <c r="H6" s="143"/>
      <c r="I6" s="138">
        <v>1</v>
      </c>
      <c r="J6" s="138">
        <v>1</v>
      </c>
      <c r="K6" s="138">
        <v>1</v>
      </c>
      <c r="L6" s="138">
        <v>1</v>
      </c>
      <c r="M6" s="138">
        <v>1</v>
      </c>
      <c r="N6" s="138">
        <v>1</v>
      </c>
      <c r="O6" s="143"/>
      <c r="P6" s="138">
        <v>1</v>
      </c>
      <c r="Q6" s="138">
        <v>1</v>
      </c>
      <c r="R6" s="138">
        <v>1</v>
      </c>
      <c r="S6" s="138">
        <v>1</v>
      </c>
      <c r="T6" s="138">
        <v>1</v>
      </c>
      <c r="U6" s="138">
        <v>1</v>
      </c>
      <c r="V6" s="143"/>
      <c r="W6" s="138">
        <v>1</v>
      </c>
      <c r="X6" s="138">
        <v>1</v>
      </c>
      <c r="Y6" s="138">
        <v>1</v>
      </c>
      <c r="Z6" s="138">
        <v>1</v>
      </c>
      <c r="AA6" s="138">
        <v>1</v>
      </c>
      <c r="AB6" s="138">
        <v>1</v>
      </c>
      <c r="AC6" s="143"/>
      <c r="AD6" s="141">
        <v>1</v>
      </c>
      <c r="AE6" s="141">
        <v>1</v>
      </c>
      <c r="AF6" s="141">
        <v>1</v>
      </c>
      <c r="AG6" s="141">
        <v>1</v>
      </c>
      <c r="AH6" s="141">
        <v>1</v>
      </c>
      <c r="AI6" s="141">
        <v>1</v>
      </c>
      <c r="AJ6" s="112">
        <f>SUM(E6:AI6)-AK6</f>
        <v>27</v>
      </c>
      <c r="AK6" s="112">
        <f>SUMIF($E$4:$AI$4,"LT",E6:AI6)</f>
        <v>0</v>
      </c>
      <c r="AL6" s="112">
        <f>COUNTIF(E6:AI6,"P")</f>
        <v>0</v>
      </c>
      <c r="AM6" s="112">
        <f>COUNTIF(E6:AI6,"LT")</f>
        <v>0</v>
      </c>
      <c r="AN6" s="152">
        <v>2.5</v>
      </c>
      <c r="AO6" s="152">
        <v>6</v>
      </c>
      <c r="AP6" s="152"/>
      <c r="AQ6" s="139">
        <v>10</v>
      </c>
      <c r="AR6" s="152"/>
      <c r="AS6" s="152">
        <v>7</v>
      </c>
      <c r="AT6" s="152">
        <v>8</v>
      </c>
      <c r="AU6" s="152"/>
      <c r="AV6" s="152">
        <v>7</v>
      </c>
      <c r="AW6" s="152"/>
      <c r="AX6" s="139"/>
      <c r="AY6" s="152">
        <v>6</v>
      </c>
      <c r="AZ6" s="152"/>
      <c r="BA6" s="152">
        <v>8</v>
      </c>
      <c r="BB6" s="152">
        <v>7</v>
      </c>
      <c r="BC6" s="152">
        <v>6</v>
      </c>
      <c r="BD6" s="152"/>
      <c r="BE6" s="139">
        <v>6</v>
      </c>
      <c r="BF6" s="152"/>
      <c r="BG6" s="152"/>
      <c r="BH6" s="152">
        <v>5</v>
      </c>
      <c r="BI6" s="152">
        <v>7</v>
      </c>
      <c r="BJ6" s="152">
        <v>3.5</v>
      </c>
      <c r="BK6" s="152"/>
      <c r="BL6" s="139">
        <v>16</v>
      </c>
      <c r="BM6" s="140"/>
      <c r="BN6" s="140">
        <v>7</v>
      </c>
      <c r="BO6" s="140">
        <v>8</v>
      </c>
      <c r="BP6" s="140">
        <v>8</v>
      </c>
      <c r="BQ6" s="140">
        <v>1</v>
      </c>
      <c r="BR6" s="148"/>
      <c r="BS6" s="112">
        <f t="shared" ref="BS6:BS55" si="0">SUM(AN6:BR6)-BT6</f>
        <v>97</v>
      </c>
      <c r="BT6" s="112">
        <f>SUMIF($AN$4:$BR$4,"CN",AN6:BR6)</f>
        <v>32</v>
      </c>
    </row>
    <row r="7" spans="1:72" ht="15">
      <c r="A7" s="3">
        <v>46</v>
      </c>
      <c r="B7" s="3" t="str">
        <f>'Bang luong'!B7</f>
        <v>NV46</v>
      </c>
      <c r="C7" s="3" t="str">
        <f>VLOOKUP(B7,'Bang luong'!$B$5:$C$58,2,0)</f>
        <v>Nguyễn Văn Thanh</v>
      </c>
      <c r="D7" s="3" t="str">
        <f>VLOOKUP(B7,'Bang luong'!$B$5:$D$99,3,0)</f>
        <v>Trợ lý SX</v>
      </c>
      <c r="E7" s="138">
        <v>1</v>
      </c>
      <c r="F7" s="138">
        <v>1</v>
      </c>
      <c r="G7" s="138">
        <v>1</v>
      </c>
      <c r="H7" s="143"/>
      <c r="I7" s="138">
        <v>1</v>
      </c>
      <c r="J7" s="138">
        <v>1</v>
      </c>
      <c r="K7" s="138">
        <v>1</v>
      </c>
      <c r="L7" s="138">
        <v>1</v>
      </c>
      <c r="M7" s="138">
        <v>1</v>
      </c>
      <c r="N7" s="138">
        <v>1</v>
      </c>
      <c r="O7" s="143"/>
      <c r="P7" s="138">
        <v>1</v>
      </c>
      <c r="Q7" s="138">
        <v>1</v>
      </c>
      <c r="R7" s="138">
        <v>1</v>
      </c>
      <c r="S7" s="138">
        <v>1</v>
      </c>
      <c r="T7" s="138">
        <v>1</v>
      </c>
      <c r="U7" s="138">
        <v>1</v>
      </c>
      <c r="V7" s="143"/>
      <c r="W7" s="138">
        <v>1</v>
      </c>
      <c r="X7" s="138">
        <v>1</v>
      </c>
      <c r="Y7" s="138">
        <v>1</v>
      </c>
      <c r="Z7" s="138">
        <v>1</v>
      </c>
      <c r="AA7" s="138">
        <v>1</v>
      </c>
      <c r="AB7" s="138">
        <v>1</v>
      </c>
      <c r="AC7" s="143"/>
      <c r="AD7" s="141">
        <v>1</v>
      </c>
      <c r="AE7" s="141">
        <v>1</v>
      </c>
      <c r="AF7" s="141">
        <v>1</v>
      </c>
      <c r="AG7" s="141">
        <v>1</v>
      </c>
      <c r="AH7" s="141">
        <v>1</v>
      </c>
      <c r="AI7" s="141">
        <v>1</v>
      </c>
      <c r="AJ7" s="112">
        <f>SUM(E7:AI7)-AK7</f>
        <v>27</v>
      </c>
      <c r="AK7" s="112">
        <f t="shared" ref="AK7:AK55" si="1">SUMIF($E$4:$AI$4,"LT",E7:AI7)</f>
        <v>0</v>
      </c>
      <c r="AL7" s="112">
        <f>COUNTIF(E7:AI7,"P")</f>
        <v>0</v>
      </c>
      <c r="AM7" s="112">
        <f>COUNTIF(E7:AI7,"LT")</f>
        <v>0</v>
      </c>
      <c r="AN7" s="152">
        <v>1</v>
      </c>
      <c r="AO7" s="152">
        <v>6</v>
      </c>
      <c r="AP7" s="152"/>
      <c r="AQ7" s="139">
        <v>10</v>
      </c>
      <c r="AR7" s="152"/>
      <c r="AS7" s="152">
        <v>7</v>
      </c>
      <c r="AT7" s="152">
        <v>8</v>
      </c>
      <c r="AU7" s="152"/>
      <c r="AV7" s="152">
        <v>7</v>
      </c>
      <c r="AW7" s="152"/>
      <c r="AX7" s="139"/>
      <c r="AY7" s="152">
        <v>6</v>
      </c>
      <c r="AZ7" s="152"/>
      <c r="BA7" s="152">
        <v>8</v>
      </c>
      <c r="BB7" s="152">
        <v>7</v>
      </c>
      <c r="BC7" s="152">
        <v>6</v>
      </c>
      <c r="BD7" s="152"/>
      <c r="BE7" s="139">
        <v>8</v>
      </c>
      <c r="BF7" s="152"/>
      <c r="BG7" s="152"/>
      <c r="BH7" s="152">
        <v>5</v>
      </c>
      <c r="BI7" s="152">
        <v>7</v>
      </c>
      <c r="BJ7" s="152"/>
      <c r="BK7" s="152"/>
      <c r="BL7" s="139">
        <v>16</v>
      </c>
      <c r="BM7" s="140"/>
      <c r="BN7" s="140">
        <v>7</v>
      </c>
      <c r="BO7" s="140">
        <v>8</v>
      </c>
      <c r="BP7" s="140">
        <v>8</v>
      </c>
      <c r="BQ7" s="140">
        <v>1</v>
      </c>
      <c r="BR7" s="148"/>
      <c r="BS7" s="112">
        <f t="shared" si="0"/>
        <v>92</v>
      </c>
      <c r="BT7" s="112">
        <f t="shared" ref="BT7:BT55" si="2">SUMIF($AN$4:$BR$4,"CN",AN7:BR7)</f>
        <v>34</v>
      </c>
    </row>
    <row r="8" spans="1:72" ht="15">
      <c r="A8" s="3">
        <v>47</v>
      </c>
      <c r="B8" s="3" t="str">
        <f>'Bang luong'!B8</f>
        <v>NV47</v>
      </c>
      <c r="C8" s="3" t="str">
        <f>VLOOKUP(B8,'Bang luong'!$B$5:$C$58,2,0)</f>
        <v>Chề A Sắt</v>
      </c>
      <c r="D8" s="3" t="str">
        <f>VLOOKUP(B8,'Bang luong'!$B$5:$D$99,3,0)</f>
        <v>Giám Sát</v>
      </c>
      <c r="E8" s="138">
        <v>1</v>
      </c>
      <c r="F8" s="138">
        <v>1</v>
      </c>
      <c r="G8" s="138">
        <v>1</v>
      </c>
      <c r="H8" s="143"/>
      <c r="I8" s="138">
        <v>1</v>
      </c>
      <c r="J8" s="138">
        <v>1</v>
      </c>
      <c r="K8" s="138">
        <v>1</v>
      </c>
      <c r="L8" s="138">
        <v>1</v>
      </c>
      <c r="M8" s="138">
        <v>1</v>
      </c>
      <c r="N8" s="138">
        <v>1</v>
      </c>
      <c r="O8" s="143"/>
      <c r="P8" s="138">
        <v>1</v>
      </c>
      <c r="Q8" s="138">
        <v>0.5</v>
      </c>
      <c r="R8" s="138">
        <v>0.5</v>
      </c>
      <c r="S8" s="138">
        <v>1</v>
      </c>
      <c r="T8" s="138">
        <v>1</v>
      </c>
      <c r="U8" s="138">
        <v>1</v>
      </c>
      <c r="V8" s="143"/>
      <c r="W8" s="138">
        <v>1</v>
      </c>
      <c r="X8" s="138">
        <v>1</v>
      </c>
      <c r="Y8" s="138">
        <v>0.5</v>
      </c>
      <c r="Z8" s="138">
        <v>1</v>
      </c>
      <c r="AA8" s="138">
        <v>1</v>
      </c>
      <c r="AB8" s="138">
        <v>0.5</v>
      </c>
      <c r="AC8" s="143"/>
      <c r="AD8" s="141">
        <v>1</v>
      </c>
      <c r="AE8" s="141">
        <v>1</v>
      </c>
      <c r="AF8" s="141">
        <v>0</v>
      </c>
      <c r="AG8" s="141">
        <v>1</v>
      </c>
      <c r="AH8" s="141">
        <v>1</v>
      </c>
      <c r="AI8" s="141">
        <v>1</v>
      </c>
      <c r="AJ8" s="112">
        <f>SUM(E8:AI8)-AK8</f>
        <v>24</v>
      </c>
      <c r="AK8" s="112">
        <f t="shared" si="1"/>
        <v>0</v>
      </c>
      <c r="AL8" s="112">
        <f>COUNTIF(E8:AI8,"P")</f>
        <v>0</v>
      </c>
      <c r="AM8" s="112">
        <f>COUNTIF(E8:AI8,"LT")</f>
        <v>0</v>
      </c>
      <c r="AN8" s="140"/>
      <c r="AO8" s="140"/>
      <c r="AP8" s="140"/>
      <c r="AQ8" s="139">
        <v>6.5</v>
      </c>
      <c r="AR8" s="140"/>
      <c r="AS8" s="140"/>
      <c r="AT8" s="140"/>
      <c r="AU8" s="140"/>
      <c r="AV8" s="140"/>
      <c r="AW8" s="140"/>
      <c r="AX8" s="139">
        <v>7</v>
      </c>
      <c r="AY8" s="140"/>
      <c r="AZ8" s="140">
        <v>2.5</v>
      </c>
      <c r="BA8" s="140"/>
      <c r="BB8" s="140"/>
      <c r="BC8" s="140"/>
      <c r="BD8" s="140"/>
      <c r="BE8" s="139">
        <v>4</v>
      </c>
      <c r="BF8" s="140"/>
      <c r="BG8" s="140"/>
      <c r="BH8" s="140"/>
      <c r="BI8" s="140"/>
      <c r="BJ8" s="140"/>
      <c r="BK8" s="140"/>
      <c r="BL8" s="139"/>
      <c r="BM8" s="140"/>
      <c r="BN8" s="140"/>
      <c r="BO8" s="140"/>
      <c r="BP8" s="140"/>
      <c r="BQ8" s="140"/>
      <c r="BR8" s="148"/>
      <c r="BS8" s="112">
        <f t="shared" si="0"/>
        <v>2.5</v>
      </c>
      <c r="BT8" s="112">
        <f t="shared" si="2"/>
        <v>17.5</v>
      </c>
    </row>
    <row r="9" spans="1:72" ht="15">
      <c r="A9" s="3">
        <v>48</v>
      </c>
      <c r="B9" s="3" t="str">
        <f>'Bang luong'!B9</f>
        <v>NV48</v>
      </c>
      <c r="C9" s="3" t="str">
        <f>VLOOKUP(B9,'Bang luong'!$B$5:$C$58,2,0)</f>
        <v>Ngô Đình Chung</v>
      </c>
      <c r="D9" s="3" t="str">
        <f>VLOOKUP(B9,'Bang luong'!$B$5:$D$99,3,0)</f>
        <v>NV trạm cân</v>
      </c>
      <c r="E9" s="138">
        <v>1</v>
      </c>
      <c r="F9" s="138">
        <v>1</v>
      </c>
      <c r="G9" s="138">
        <v>0.5</v>
      </c>
      <c r="H9" s="143"/>
      <c r="I9" s="138">
        <v>0</v>
      </c>
      <c r="J9" s="138">
        <v>0</v>
      </c>
      <c r="K9" s="138">
        <v>1</v>
      </c>
      <c r="L9" s="138">
        <v>1</v>
      </c>
      <c r="M9" s="138">
        <v>1</v>
      </c>
      <c r="N9" s="138">
        <v>0</v>
      </c>
      <c r="O9" s="143"/>
      <c r="P9" s="138">
        <v>1</v>
      </c>
      <c r="Q9" s="138">
        <v>1</v>
      </c>
      <c r="R9" s="138">
        <v>1</v>
      </c>
      <c r="S9" s="138">
        <v>1</v>
      </c>
      <c r="T9" s="138">
        <v>1</v>
      </c>
      <c r="U9" s="138">
        <v>1</v>
      </c>
      <c r="V9" s="143"/>
      <c r="W9" s="138">
        <v>1</v>
      </c>
      <c r="X9" s="138">
        <v>1</v>
      </c>
      <c r="Y9" s="138">
        <v>1</v>
      </c>
      <c r="Z9" s="138">
        <v>1</v>
      </c>
      <c r="AA9" s="138">
        <v>1</v>
      </c>
      <c r="AB9" s="138">
        <v>1</v>
      </c>
      <c r="AC9" s="143"/>
      <c r="AD9" s="141">
        <v>1</v>
      </c>
      <c r="AE9" s="141">
        <v>1</v>
      </c>
      <c r="AF9" s="141">
        <v>1</v>
      </c>
      <c r="AG9" s="141">
        <v>1</v>
      </c>
      <c r="AH9" s="141">
        <v>1</v>
      </c>
      <c r="AI9" s="141">
        <v>1</v>
      </c>
      <c r="AJ9" s="112">
        <f>SUM(E9:AI9)-AK9</f>
        <v>23.5</v>
      </c>
      <c r="AK9" s="112">
        <f t="shared" si="1"/>
        <v>0</v>
      </c>
      <c r="AL9" s="112">
        <f>COUNTIF(E9:AI9,"P")</f>
        <v>0</v>
      </c>
      <c r="AM9" s="112">
        <f>COUNTIF(E9:AI9,"LT")</f>
        <v>0</v>
      </c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12">
        <f t="shared" si="0"/>
        <v>0</v>
      </c>
      <c r="BT9" s="112">
        <f t="shared" si="2"/>
        <v>0</v>
      </c>
    </row>
    <row r="10" spans="1:72">
      <c r="A10" s="3"/>
      <c r="B10" s="3"/>
      <c r="C10" s="23" t="s">
        <v>361</v>
      </c>
      <c r="D10" s="23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13"/>
      <c r="AK10" s="113"/>
      <c r="AL10" s="113"/>
      <c r="AM10" s="113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12">
        <f t="shared" si="0"/>
        <v>0</v>
      </c>
      <c r="BT10" s="112">
        <f t="shared" si="2"/>
        <v>0</v>
      </c>
    </row>
    <row r="11" spans="1:72" ht="15">
      <c r="A11" s="3"/>
      <c r="B11" s="3" t="str">
        <f>'Bang luong'!B11</f>
        <v>NV49</v>
      </c>
      <c r="C11" s="3" t="str">
        <f>VLOOKUP(B11,'Bang luong'!$B$5:$C$58,2,0)</f>
        <v>Đồng Anh Tuấn</v>
      </c>
      <c r="D11" s="3" t="str">
        <f>VLOOKUP(B11,'Bang luong'!$B$5:$D$99,3,0)</f>
        <v>Thủ kho</v>
      </c>
      <c r="E11" s="138">
        <v>1</v>
      </c>
      <c r="F11" s="138">
        <v>1</v>
      </c>
      <c r="G11" s="138">
        <v>1</v>
      </c>
      <c r="H11" s="143"/>
      <c r="I11" s="138">
        <v>1</v>
      </c>
      <c r="J11" s="138">
        <v>1</v>
      </c>
      <c r="K11" s="138">
        <v>1</v>
      </c>
      <c r="L11" s="138">
        <v>1</v>
      </c>
      <c r="M11" s="138">
        <v>1</v>
      </c>
      <c r="N11" s="138">
        <v>1</v>
      </c>
      <c r="O11" s="143"/>
      <c r="P11" s="138">
        <v>1</v>
      </c>
      <c r="Q11" s="138">
        <v>1</v>
      </c>
      <c r="R11" s="138">
        <v>1</v>
      </c>
      <c r="S11" s="138">
        <v>1</v>
      </c>
      <c r="T11" s="138">
        <v>1</v>
      </c>
      <c r="U11" s="138">
        <v>1</v>
      </c>
      <c r="V11" s="143"/>
      <c r="W11" s="138">
        <v>1</v>
      </c>
      <c r="X11" s="138">
        <v>1</v>
      </c>
      <c r="Y11" s="138">
        <v>1</v>
      </c>
      <c r="Z11" s="138">
        <v>1</v>
      </c>
      <c r="AA11" s="138">
        <v>1</v>
      </c>
      <c r="AB11" s="138">
        <v>1</v>
      </c>
      <c r="AC11" s="143"/>
      <c r="AD11" s="141">
        <v>1</v>
      </c>
      <c r="AE11" s="141">
        <v>1</v>
      </c>
      <c r="AF11" s="141">
        <v>1</v>
      </c>
      <c r="AG11" s="141">
        <v>1</v>
      </c>
      <c r="AH11" s="141">
        <v>1</v>
      </c>
      <c r="AI11" s="141">
        <v>1</v>
      </c>
      <c r="AJ11" s="112">
        <f>SUM(E11:AI11)-AK11</f>
        <v>27</v>
      </c>
      <c r="AK11" s="112">
        <f t="shared" si="1"/>
        <v>0</v>
      </c>
      <c r="AL11" s="112">
        <f>COUNTIF(E11:AI11,"P")</f>
        <v>0</v>
      </c>
      <c r="AM11" s="112">
        <f>COUNTIF(E11:AI11,"LT")</f>
        <v>0</v>
      </c>
      <c r="AN11" s="140">
        <v>2.5</v>
      </c>
      <c r="AO11" s="140"/>
      <c r="AP11" s="140"/>
      <c r="AQ11" s="139">
        <v>8</v>
      </c>
      <c r="AR11" s="140">
        <v>2.5</v>
      </c>
      <c r="AS11" s="140"/>
      <c r="AT11" s="140"/>
      <c r="AU11" s="140"/>
      <c r="AV11" s="140"/>
      <c r="AW11" s="140"/>
      <c r="AX11" s="139">
        <v>8.5</v>
      </c>
      <c r="AY11" s="140"/>
      <c r="AZ11" s="140">
        <v>2.5</v>
      </c>
      <c r="BA11" s="140"/>
      <c r="BB11" s="140"/>
      <c r="BC11" s="140"/>
      <c r="BD11" s="140"/>
      <c r="BE11" s="139"/>
      <c r="BF11" s="140"/>
      <c r="BG11" s="140"/>
      <c r="BH11" s="140"/>
      <c r="BI11" s="140"/>
      <c r="BJ11" s="140"/>
      <c r="BK11" s="140"/>
      <c r="BL11" s="139"/>
      <c r="BM11" s="140"/>
      <c r="BN11" s="140"/>
      <c r="BO11" s="140"/>
      <c r="BP11" s="140"/>
      <c r="BQ11" s="140"/>
      <c r="BR11" s="140"/>
      <c r="BS11" s="112">
        <f t="shared" si="0"/>
        <v>7.5</v>
      </c>
      <c r="BT11" s="112">
        <f t="shared" si="2"/>
        <v>16.5</v>
      </c>
    </row>
    <row r="12" spans="1:72" ht="15">
      <c r="A12" s="3"/>
      <c r="B12" s="3" t="str">
        <f>'Bang luong'!B12</f>
        <v>NV50</v>
      </c>
      <c r="C12" s="3" t="str">
        <f>VLOOKUP(B12,'Bang luong'!$B$5:$C$58,2,0)</f>
        <v>Nguyễn Trường Thạch</v>
      </c>
      <c r="D12" s="3" t="str">
        <f>VLOOKUP(B12,'Bang luong'!$B$5:$D$99,3,0)</f>
        <v>NV kho</v>
      </c>
      <c r="E12" s="138">
        <v>0.5</v>
      </c>
      <c r="F12" s="138">
        <v>1</v>
      </c>
      <c r="G12" s="138">
        <v>1</v>
      </c>
      <c r="H12" s="143"/>
      <c r="I12" s="138">
        <v>0.5</v>
      </c>
      <c r="J12" s="138">
        <v>1</v>
      </c>
      <c r="K12" s="138">
        <v>0.5</v>
      </c>
      <c r="L12" s="138">
        <v>1</v>
      </c>
      <c r="M12" s="138">
        <v>1</v>
      </c>
      <c r="N12" s="138">
        <v>1</v>
      </c>
      <c r="O12" s="143"/>
      <c r="P12" s="138">
        <v>1</v>
      </c>
      <c r="Q12" s="138">
        <v>1</v>
      </c>
      <c r="R12" s="138">
        <v>1</v>
      </c>
      <c r="S12" s="138">
        <v>1</v>
      </c>
      <c r="T12" s="138">
        <v>1</v>
      </c>
      <c r="U12" s="138">
        <v>1</v>
      </c>
      <c r="V12" s="143"/>
      <c r="W12" s="138">
        <v>1</v>
      </c>
      <c r="X12" s="138">
        <v>1</v>
      </c>
      <c r="Y12" s="138">
        <v>1</v>
      </c>
      <c r="Z12" s="138">
        <v>1</v>
      </c>
      <c r="AA12" s="138">
        <v>1</v>
      </c>
      <c r="AB12" s="138">
        <v>1</v>
      </c>
      <c r="AC12" s="143"/>
      <c r="AD12" s="141">
        <v>1</v>
      </c>
      <c r="AE12" s="141">
        <v>1</v>
      </c>
      <c r="AF12" s="141">
        <v>1</v>
      </c>
      <c r="AG12" s="141">
        <v>1</v>
      </c>
      <c r="AH12" s="141">
        <v>1</v>
      </c>
      <c r="AI12" s="141">
        <v>1</v>
      </c>
      <c r="AJ12" s="112">
        <f>SUM(E12:AI12)-AK12</f>
        <v>25.5</v>
      </c>
      <c r="AK12" s="112">
        <f t="shared" si="1"/>
        <v>0</v>
      </c>
      <c r="AL12" s="112">
        <f>COUNTIF(E12:AI12,"P")</f>
        <v>0</v>
      </c>
      <c r="AM12" s="112">
        <f>COUNTIF(E12:AI12,"LT")</f>
        <v>0</v>
      </c>
      <c r="AN12" s="140"/>
      <c r="AO12" s="140"/>
      <c r="AP12" s="140">
        <v>8</v>
      </c>
      <c r="AQ12" s="139">
        <v>7</v>
      </c>
      <c r="AR12" s="140"/>
      <c r="AS12" s="140"/>
      <c r="AT12" s="140"/>
      <c r="AU12" s="140"/>
      <c r="AV12" s="140"/>
      <c r="AW12" s="140">
        <v>8</v>
      </c>
      <c r="AX12" s="139">
        <v>15</v>
      </c>
      <c r="AY12" s="140"/>
      <c r="AZ12" s="140">
        <v>2.5</v>
      </c>
      <c r="BA12" s="140"/>
      <c r="BB12" s="140"/>
      <c r="BC12" s="140"/>
      <c r="BD12" s="140">
        <v>8</v>
      </c>
      <c r="BE12" s="139">
        <v>7</v>
      </c>
      <c r="BF12" s="140"/>
      <c r="BG12" s="140"/>
      <c r="BH12" s="140"/>
      <c r="BI12" s="140"/>
      <c r="BJ12" s="140"/>
      <c r="BK12" s="140">
        <v>8</v>
      </c>
      <c r="BL12" s="139">
        <v>15</v>
      </c>
      <c r="BM12" s="140"/>
      <c r="BN12" s="140"/>
      <c r="BO12" s="140"/>
      <c r="BP12" s="140">
        <v>3</v>
      </c>
      <c r="BQ12" s="140"/>
      <c r="BR12" s="140">
        <v>8</v>
      </c>
      <c r="BS12" s="112">
        <f t="shared" si="0"/>
        <v>45.5</v>
      </c>
      <c r="BT12" s="112">
        <f t="shared" si="2"/>
        <v>44</v>
      </c>
    </row>
    <row r="13" spans="1:72" ht="22.8">
      <c r="A13" s="23" t="s">
        <v>16</v>
      </c>
      <c r="B13" s="23"/>
      <c r="C13" s="23" t="s">
        <v>17</v>
      </c>
      <c r="D13" s="23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13"/>
      <c r="AK13" s="113"/>
      <c r="AL13" s="113"/>
      <c r="AM13" s="113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12">
        <f t="shared" si="0"/>
        <v>0</v>
      </c>
      <c r="BT13" s="112">
        <f t="shared" si="2"/>
        <v>0</v>
      </c>
    </row>
    <row r="14" spans="1:72">
      <c r="A14" s="3">
        <v>49</v>
      </c>
      <c r="B14" s="3" t="str">
        <f>'Bang luong'!B14</f>
        <v>NV51</v>
      </c>
      <c r="C14" s="3" t="str">
        <f>VLOOKUP(B14,'Bang luong'!$B$5:$C$58,2,0)</f>
        <v>Lê Công Nhất Trung</v>
      </c>
      <c r="D14" s="3" t="str">
        <f>VLOOKUP(B14,'Bang luong'!$B$5:$D$99,3,0)</f>
        <v>KS Môi trường</v>
      </c>
      <c r="E14" s="145">
        <v>1</v>
      </c>
      <c r="F14" s="145">
        <v>1</v>
      </c>
      <c r="G14" s="145">
        <v>1</v>
      </c>
      <c r="H14" s="145"/>
      <c r="I14" s="145">
        <v>1</v>
      </c>
      <c r="J14" s="145">
        <v>1</v>
      </c>
      <c r="K14" s="145">
        <v>1</v>
      </c>
      <c r="L14" s="145">
        <v>1</v>
      </c>
      <c r="M14" s="145">
        <v>1</v>
      </c>
      <c r="N14" s="145">
        <v>1</v>
      </c>
      <c r="O14" s="145"/>
      <c r="P14" s="145">
        <v>1</v>
      </c>
      <c r="Q14" s="145">
        <v>1</v>
      </c>
      <c r="R14" s="145">
        <v>1</v>
      </c>
      <c r="S14" s="145">
        <v>1</v>
      </c>
      <c r="T14" s="145">
        <v>1</v>
      </c>
      <c r="U14" s="145">
        <v>1</v>
      </c>
      <c r="V14" s="145"/>
      <c r="W14" s="145">
        <v>1</v>
      </c>
      <c r="X14" s="145">
        <v>1</v>
      </c>
      <c r="Y14" s="145">
        <v>1</v>
      </c>
      <c r="Z14" s="145">
        <v>1</v>
      </c>
      <c r="AA14" s="145">
        <v>1</v>
      </c>
      <c r="AB14" s="145">
        <v>1</v>
      </c>
      <c r="AC14" s="145"/>
      <c r="AD14" s="145">
        <v>1</v>
      </c>
      <c r="AE14" s="145">
        <v>1</v>
      </c>
      <c r="AF14" s="145">
        <v>1</v>
      </c>
      <c r="AG14" s="145">
        <v>1</v>
      </c>
      <c r="AH14" s="145">
        <v>1</v>
      </c>
      <c r="AI14" s="145">
        <v>1</v>
      </c>
      <c r="AJ14" s="112">
        <f>SUM(E14:AI14)-AK14</f>
        <v>27</v>
      </c>
      <c r="AK14" s="112">
        <f t="shared" si="1"/>
        <v>0</v>
      </c>
      <c r="AL14" s="112">
        <f>COUNTIF(E14:AI14,"P")</f>
        <v>0</v>
      </c>
      <c r="AM14" s="112">
        <f>COUNTIF(E14:AI14,"LT")</f>
        <v>0</v>
      </c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12">
        <f t="shared" si="0"/>
        <v>0</v>
      </c>
      <c r="BT14" s="112">
        <f t="shared" si="2"/>
        <v>0</v>
      </c>
    </row>
    <row r="15" spans="1:72" ht="22.8">
      <c r="A15" s="3">
        <v>50</v>
      </c>
      <c r="B15" s="3" t="str">
        <f>'Bang luong'!B15</f>
        <v>NV52</v>
      </c>
      <c r="C15" s="3" t="str">
        <f>VLOOKUP(B15,'Bang luong'!$B$5:$C$58,2,0)</f>
        <v>Hồ Phan Thiết Toàn</v>
      </c>
      <c r="D15" s="3" t="str">
        <f>VLOOKUP(B15,'Bang luong'!$B$5:$D$99,3,0)</f>
        <v>KS Nông nghiệp</v>
      </c>
      <c r="E15" s="138">
        <v>1</v>
      </c>
      <c r="F15" s="138">
        <v>1</v>
      </c>
      <c r="G15" s="138">
        <v>1</v>
      </c>
      <c r="H15" s="143"/>
      <c r="I15" s="138">
        <v>1</v>
      </c>
      <c r="J15" s="138">
        <v>1</v>
      </c>
      <c r="K15" s="138">
        <v>1</v>
      </c>
      <c r="L15" s="138">
        <v>1</v>
      </c>
      <c r="M15" s="138">
        <v>1</v>
      </c>
      <c r="N15" s="138">
        <v>1</v>
      </c>
      <c r="O15" s="143"/>
      <c r="P15" s="138">
        <v>1</v>
      </c>
      <c r="Q15" s="138">
        <v>1</v>
      </c>
      <c r="R15" s="138">
        <v>1</v>
      </c>
      <c r="S15" s="138">
        <v>0.5</v>
      </c>
      <c r="T15" s="138">
        <v>0</v>
      </c>
      <c r="U15" s="138">
        <v>1</v>
      </c>
      <c r="V15" s="143"/>
      <c r="W15" s="138">
        <v>1</v>
      </c>
      <c r="X15" s="138">
        <v>1</v>
      </c>
      <c r="Y15" s="138">
        <v>1</v>
      </c>
      <c r="Z15" s="138">
        <v>1</v>
      </c>
      <c r="AA15" s="138">
        <v>1</v>
      </c>
      <c r="AB15" s="138">
        <v>1</v>
      </c>
      <c r="AC15" s="143"/>
      <c r="AD15" s="141">
        <v>1</v>
      </c>
      <c r="AE15" s="141">
        <v>1</v>
      </c>
      <c r="AF15" s="141">
        <v>1</v>
      </c>
      <c r="AG15" s="141">
        <v>1</v>
      </c>
      <c r="AH15" s="141">
        <v>0.5</v>
      </c>
      <c r="AI15" s="141">
        <v>1</v>
      </c>
      <c r="AJ15" s="112">
        <f>SUM(E15:AI15)-AK15</f>
        <v>25</v>
      </c>
      <c r="AK15" s="112">
        <f t="shared" si="1"/>
        <v>0</v>
      </c>
      <c r="AL15" s="112">
        <f>COUNTIF(E15:AI15,"P")</f>
        <v>0</v>
      </c>
      <c r="AM15" s="112">
        <f>COUNTIF(E15:AI15,"LT")</f>
        <v>0</v>
      </c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12">
        <f t="shared" si="0"/>
        <v>0</v>
      </c>
      <c r="BT15" s="112">
        <f t="shared" si="2"/>
        <v>0</v>
      </c>
    </row>
    <row r="16" spans="1:72" ht="22.8">
      <c r="A16" s="23" t="s">
        <v>18</v>
      </c>
      <c r="B16" s="23"/>
      <c r="C16" s="23" t="s">
        <v>19</v>
      </c>
      <c r="D16" s="23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13"/>
      <c r="AK16" s="113"/>
      <c r="AL16" s="113"/>
      <c r="AM16" s="113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12">
        <f t="shared" si="0"/>
        <v>0</v>
      </c>
      <c r="BT16" s="112">
        <f t="shared" si="2"/>
        <v>0</v>
      </c>
    </row>
    <row r="17" spans="1:72" ht="15">
      <c r="A17" s="3">
        <v>51</v>
      </c>
      <c r="B17" s="3" t="str">
        <f>'Bang luong'!B18</f>
        <v>NV53</v>
      </c>
      <c r="C17" s="3" t="str">
        <f>VLOOKUP(B17,'Bang luong'!$B$5:$C$58,2,0)</f>
        <v>Trần Ngọc Minh</v>
      </c>
      <c r="D17" s="3" t="str">
        <f>VLOOKUP(B17,'Bang luong'!$B$5:$D$99,3,0)</f>
        <v>NV bảo trì</v>
      </c>
      <c r="E17" s="138">
        <v>1</v>
      </c>
      <c r="F17" s="138">
        <v>1</v>
      </c>
      <c r="G17" s="138">
        <v>1</v>
      </c>
      <c r="H17" s="143"/>
      <c r="I17" s="138">
        <v>1</v>
      </c>
      <c r="J17" s="138">
        <v>1</v>
      </c>
      <c r="K17" s="138">
        <v>1</v>
      </c>
      <c r="L17" s="138">
        <v>1</v>
      </c>
      <c r="M17" s="138">
        <v>1</v>
      </c>
      <c r="N17" s="138">
        <v>1</v>
      </c>
      <c r="O17" s="143"/>
      <c r="P17" s="138">
        <v>1</v>
      </c>
      <c r="Q17" s="138">
        <v>1</v>
      </c>
      <c r="R17" s="138">
        <v>1</v>
      </c>
      <c r="S17" s="138">
        <v>1</v>
      </c>
      <c r="T17" s="138">
        <v>1</v>
      </c>
      <c r="U17" s="138">
        <v>1</v>
      </c>
      <c r="V17" s="143"/>
      <c r="W17" s="138">
        <v>1</v>
      </c>
      <c r="X17" s="138">
        <v>1</v>
      </c>
      <c r="Y17" s="138">
        <v>1</v>
      </c>
      <c r="Z17" s="138">
        <v>1</v>
      </c>
      <c r="AA17" s="138">
        <v>1</v>
      </c>
      <c r="AB17" s="138">
        <v>1</v>
      </c>
      <c r="AC17" s="143"/>
      <c r="AD17" s="141">
        <v>1</v>
      </c>
      <c r="AE17" s="138">
        <v>1</v>
      </c>
      <c r="AF17" s="138">
        <v>1</v>
      </c>
      <c r="AG17" s="138">
        <v>1</v>
      </c>
      <c r="AH17" s="138">
        <v>1</v>
      </c>
      <c r="AI17" s="138">
        <v>1</v>
      </c>
      <c r="AJ17" s="112">
        <f t="shared" ref="AJ17:AJ32" si="3">SUM(E17:AI17)-AK17</f>
        <v>27</v>
      </c>
      <c r="AK17" s="112">
        <f t="shared" si="1"/>
        <v>0</v>
      </c>
      <c r="AL17" s="112">
        <f t="shared" ref="AL17:AL32" si="4">COUNTIF(E17:AI17,"P")</f>
        <v>0</v>
      </c>
      <c r="AM17" s="112">
        <f t="shared" ref="AM17:AM32" si="5">COUNTIF(E17:AI17,"LT")</f>
        <v>0</v>
      </c>
      <c r="AN17" s="140">
        <v>1</v>
      </c>
      <c r="AO17" s="140"/>
      <c r="AP17" s="140"/>
      <c r="AQ17" s="139">
        <v>8</v>
      </c>
      <c r="AR17" s="140"/>
      <c r="AS17" s="140">
        <v>1</v>
      </c>
      <c r="AT17" s="140"/>
      <c r="AU17" s="140"/>
      <c r="AV17" s="140"/>
      <c r="AW17" s="140"/>
      <c r="AX17" s="139">
        <v>8</v>
      </c>
      <c r="AY17" s="140">
        <v>1</v>
      </c>
      <c r="AZ17" s="140">
        <v>1</v>
      </c>
      <c r="BA17" s="140">
        <v>1</v>
      </c>
      <c r="BB17" s="140"/>
      <c r="BC17" s="140"/>
      <c r="BD17" s="140"/>
      <c r="BE17" s="139">
        <v>8</v>
      </c>
      <c r="BF17" s="140">
        <v>1</v>
      </c>
      <c r="BG17" s="140"/>
      <c r="BH17" s="140"/>
      <c r="BI17" s="140"/>
      <c r="BJ17" s="140"/>
      <c r="BK17" s="140"/>
      <c r="BL17" s="139">
        <v>8</v>
      </c>
      <c r="BM17" s="140"/>
      <c r="BN17" s="140"/>
      <c r="BO17" s="138">
        <v>1.5</v>
      </c>
      <c r="BP17" s="140"/>
      <c r="BQ17" s="140"/>
      <c r="BR17" s="140"/>
      <c r="BS17" s="112">
        <f t="shared" si="0"/>
        <v>7.5</v>
      </c>
      <c r="BT17" s="112">
        <f t="shared" si="2"/>
        <v>32</v>
      </c>
    </row>
    <row r="18" spans="1:72" ht="15">
      <c r="A18" s="3">
        <v>52</v>
      </c>
      <c r="B18" s="3" t="str">
        <f>'Bang luong'!B19</f>
        <v>NV54</v>
      </c>
      <c r="C18" s="3" t="str">
        <f>VLOOKUP(B18,'Bang luong'!$B$5:$C$58,2,0)</f>
        <v>Đào Công Thắng</v>
      </c>
      <c r="D18" s="3" t="str">
        <f>VLOOKUP(B18,'Bang luong'!$B$5:$D$99,3,0)</f>
        <v>QL xe cơ giới</v>
      </c>
      <c r="E18" s="138">
        <v>1</v>
      </c>
      <c r="F18" s="138">
        <v>1</v>
      </c>
      <c r="G18" s="138" t="s">
        <v>506</v>
      </c>
      <c r="H18" s="143"/>
      <c r="I18" s="138" t="s">
        <v>506</v>
      </c>
      <c r="J18" s="138" t="s">
        <v>506</v>
      </c>
      <c r="K18" s="138" t="s">
        <v>506</v>
      </c>
      <c r="L18" s="138">
        <v>1</v>
      </c>
      <c r="M18" s="138">
        <v>1</v>
      </c>
      <c r="N18" s="138">
        <v>1</v>
      </c>
      <c r="O18" s="143"/>
      <c r="P18" s="138">
        <v>1</v>
      </c>
      <c r="Q18" s="138">
        <v>1</v>
      </c>
      <c r="R18" s="138">
        <v>1</v>
      </c>
      <c r="S18" s="138">
        <v>1</v>
      </c>
      <c r="T18" s="138">
        <v>1</v>
      </c>
      <c r="U18" s="138">
        <v>1</v>
      </c>
      <c r="V18" s="143"/>
      <c r="W18" s="138">
        <v>1</v>
      </c>
      <c r="X18" s="138">
        <v>1</v>
      </c>
      <c r="Y18" s="138">
        <v>1</v>
      </c>
      <c r="Z18" s="138">
        <v>1</v>
      </c>
      <c r="AA18" s="138">
        <v>1</v>
      </c>
      <c r="AB18" s="138">
        <v>1</v>
      </c>
      <c r="AC18" s="143"/>
      <c r="AD18" s="138">
        <v>1</v>
      </c>
      <c r="AE18" s="138">
        <v>1</v>
      </c>
      <c r="AF18" s="138">
        <v>1</v>
      </c>
      <c r="AG18" s="138">
        <v>1</v>
      </c>
      <c r="AH18" s="138">
        <v>1</v>
      </c>
      <c r="AI18" s="138">
        <v>1</v>
      </c>
      <c r="AJ18" s="112">
        <f t="shared" si="3"/>
        <v>23</v>
      </c>
      <c r="AK18" s="112">
        <f t="shared" si="1"/>
        <v>0</v>
      </c>
      <c r="AL18" s="112">
        <f t="shared" si="4"/>
        <v>4</v>
      </c>
      <c r="AM18" s="112">
        <f t="shared" si="5"/>
        <v>0</v>
      </c>
      <c r="AN18" s="140">
        <v>1</v>
      </c>
      <c r="AO18" s="140"/>
      <c r="AP18" s="140"/>
      <c r="AQ18" s="139">
        <v>8</v>
      </c>
      <c r="AR18" s="140"/>
      <c r="AS18" s="140"/>
      <c r="AT18" s="140"/>
      <c r="AU18" s="140"/>
      <c r="AV18" s="140"/>
      <c r="AW18" s="140"/>
      <c r="AX18" s="139">
        <v>8</v>
      </c>
      <c r="AY18" s="140">
        <v>1</v>
      </c>
      <c r="AZ18" s="140">
        <v>1</v>
      </c>
      <c r="BA18" s="140">
        <v>1</v>
      </c>
      <c r="BB18" s="140"/>
      <c r="BC18" s="140"/>
      <c r="BD18" s="140"/>
      <c r="BE18" s="139">
        <v>8</v>
      </c>
      <c r="BF18" s="140"/>
      <c r="BG18" s="140"/>
      <c r="BH18" s="140"/>
      <c r="BI18" s="140"/>
      <c r="BJ18" s="140"/>
      <c r="BK18" s="140"/>
      <c r="BL18" s="139">
        <v>8</v>
      </c>
      <c r="BM18" s="140"/>
      <c r="BN18" s="140"/>
      <c r="BO18" s="138">
        <v>1.5</v>
      </c>
      <c r="BP18" s="140"/>
      <c r="BQ18" s="140"/>
      <c r="BR18" s="140"/>
      <c r="BS18" s="112">
        <f t="shared" si="0"/>
        <v>5.5</v>
      </c>
      <c r="BT18" s="112">
        <f t="shared" si="2"/>
        <v>32</v>
      </c>
    </row>
    <row r="19" spans="1:72" ht="15">
      <c r="A19" s="3">
        <v>53</v>
      </c>
      <c r="B19" s="3" t="e">
        <f>'Bang luong'!#REF!</f>
        <v>#REF!</v>
      </c>
      <c r="C19" s="3" t="e">
        <f>VLOOKUP(B19,'Bang luong'!$B$5:$C$58,2,0)</f>
        <v>#REF!</v>
      </c>
      <c r="D19" s="3" t="e">
        <f>VLOOKUP(B19,'Bang luong'!$B$5:$D$99,3,0)</f>
        <v>#REF!</v>
      </c>
      <c r="E19" s="138">
        <v>1</v>
      </c>
      <c r="F19" s="138">
        <v>1</v>
      </c>
      <c r="G19" s="138">
        <v>1</v>
      </c>
      <c r="H19" s="143"/>
      <c r="I19" s="138">
        <v>1</v>
      </c>
      <c r="J19" s="138">
        <v>1</v>
      </c>
      <c r="K19" s="138">
        <v>1</v>
      </c>
      <c r="L19" s="138">
        <v>1</v>
      </c>
      <c r="M19" s="138">
        <v>1</v>
      </c>
      <c r="N19" s="138">
        <v>1</v>
      </c>
      <c r="O19" s="143"/>
      <c r="P19" s="138">
        <v>1</v>
      </c>
      <c r="Q19" s="138">
        <v>1</v>
      </c>
      <c r="R19" s="138">
        <v>0</v>
      </c>
      <c r="S19" s="138">
        <v>1</v>
      </c>
      <c r="T19" s="138">
        <v>1</v>
      </c>
      <c r="U19" s="138">
        <v>1</v>
      </c>
      <c r="V19" s="143"/>
      <c r="W19" s="138">
        <v>1</v>
      </c>
      <c r="X19" s="138">
        <v>1</v>
      </c>
      <c r="Y19" s="138">
        <v>1</v>
      </c>
      <c r="Z19" s="138">
        <v>1</v>
      </c>
      <c r="AA19" s="138">
        <v>1</v>
      </c>
      <c r="AB19" s="138">
        <v>1</v>
      </c>
      <c r="AC19" s="143"/>
      <c r="AD19" s="141">
        <v>1</v>
      </c>
      <c r="AE19" s="138">
        <v>1</v>
      </c>
      <c r="AF19" s="138">
        <v>1</v>
      </c>
      <c r="AG19" s="138">
        <v>1</v>
      </c>
      <c r="AH19" s="138">
        <v>1</v>
      </c>
      <c r="AI19" s="138">
        <v>0.5</v>
      </c>
      <c r="AJ19" s="112">
        <f t="shared" si="3"/>
        <v>25.5</v>
      </c>
      <c r="AK19" s="112">
        <f t="shared" si="1"/>
        <v>0</v>
      </c>
      <c r="AL19" s="112">
        <f t="shared" si="4"/>
        <v>0</v>
      </c>
      <c r="AM19" s="112">
        <f t="shared" si="5"/>
        <v>0</v>
      </c>
      <c r="AN19" s="140"/>
      <c r="AO19" s="140"/>
      <c r="AP19" s="140"/>
      <c r="AQ19" s="139">
        <v>8</v>
      </c>
      <c r="AR19" s="140"/>
      <c r="AS19" s="140"/>
      <c r="AT19" s="140"/>
      <c r="AU19" s="140"/>
      <c r="AV19" s="140"/>
      <c r="AW19" s="140"/>
      <c r="AX19" s="139"/>
      <c r="AY19" s="140"/>
      <c r="AZ19" s="140"/>
      <c r="BA19" s="140"/>
      <c r="BB19" s="140">
        <v>1</v>
      </c>
      <c r="BC19" s="140"/>
      <c r="BD19" s="140"/>
      <c r="BE19" s="139"/>
      <c r="BF19" s="140"/>
      <c r="BG19" s="140"/>
      <c r="BH19" s="140"/>
      <c r="BI19" s="140"/>
      <c r="BJ19" s="140"/>
      <c r="BK19" s="140"/>
      <c r="BL19" s="139"/>
      <c r="BM19" s="140"/>
      <c r="BN19" s="140"/>
      <c r="BO19" s="140"/>
      <c r="BP19" s="140"/>
      <c r="BQ19" s="140"/>
      <c r="BR19" s="140"/>
      <c r="BS19" s="112">
        <f t="shared" si="0"/>
        <v>1</v>
      </c>
      <c r="BT19" s="112">
        <f t="shared" si="2"/>
        <v>8</v>
      </c>
    </row>
    <row r="20" spans="1:72" ht="15">
      <c r="A20" s="3">
        <v>54</v>
      </c>
      <c r="B20" s="3" t="str">
        <f>'Bang luong'!B20</f>
        <v>NV56</v>
      </c>
      <c r="C20" s="3" t="str">
        <f>VLOOKUP(B20,'Bang luong'!$B$5:$C$58,2,0)</f>
        <v>Chung Văn Hiệp</v>
      </c>
      <c r="D20" s="3" t="str">
        <f>VLOOKUP(B20,'Bang luong'!$B$5:$D$99,3,0)</f>
        <v>Lái xe cơ giới</v>
      </c>
      <c r="E20" s="138">
        <v>1</v>
      </c>
      <c r="F20" s="138">
        <v>1</v>
      </c>
      <c r="G20" s="138">
        <v>1</v>
      </c>
      <c r="H20" s="143"/>
      <c r="I20" s="138">
        <v>1</v>
      </c>
      <c r="J20" s="138">
        <v>0</v>
      </c>
      <c r="K20" s="138">
        <v>0.5</v>
      </c>
      <c r="L20" s="138">
        <v>1</v>
      </c>
      <c r="M20" s="138">
        <v>1</v>
      </c>
      <c r="N20" s="138">
        <v>1</v>
      </c>
      <c r="O20" s="143"/>
      <c r="P20" s="138">
        <v>1</v>
      </c>
      <c r="Q20" s="138">
        <v>1</v>
      </c>
      <c r="R20" s="138">
        <v>1</v>
      </c>
      <c r="S20" s="138">
        <v>1</v>
      </c>
      <c r="T20" s="138">
        <v>1</v>
      </c>
      <c r="U20" s="138">
        <v>1</v>
      </c>
      <c r="V20" s="143"/>
      <c r="W20" s="138">
        <v>1</v>
      </c>
      <c r="X20" s="138">
        <v>1</v>
      </c>
      <c r="Y20" s="138">
        <v>1</v>
      </c>
      <c r="Z20" s="138" t="s">
        <v>506</v>
      </c>
      <c r="AA20" s="138" t="s">
        <v>506</v>
      </c>
      <c r="AB20" s="138" t="s">
        <v>506</v>
      </c>
      <c r="AC20" s="143"/>
      <c r="AD20" s="138" t="s">
        <v>506</v>
      </c>
      <c r="AE20" s="138" t="s">
        <v>506</v>
      </c>
      <c r="AF20" s="138">
        <v>1</v>
      </c>
      <c r="AG20" s="138">
        <v>1</v>
      </c>
      <c r="AH20" s="138">
        <v>1</v>
      </c>
      <c r="AI20" s="138">
        <v>1</v>
      </c>
      <c r="AJ20" s="112">
        <f t="shared" si="3"/>
        <v>20.5</v>
      </c>
      <c r="AK20" s="112">
        <f t="shared" si="1"/>
        <v>0</v>
      </c>
      <c r="AL20" s="112">
        <f t="shared" si="4"/>
        <v>5</v>
      </c>
      <c r="AM20" s="112">
        <f t="shared" si="5"/>
        <v>0</v>
      </c>
      <c r="AN20" s="140"/>
      <c r="AO20" s="140"/>
      <c r="AP20" s="140"/>
      <c r="AQ20" s="139">
        <v>8</v>
      </c>
      <c r="AR20" s="140"/>
      <c r="AS20" s="140"/>
      <c r="AT20" s="140"/>
      <c r="AU20" s="140"/>
      <c r="AV20" s="140"/>
      <c r="AW20" s="140"/>
      <c r="AX20" s="139">
        <v>8</v>
      </c>
      <c r="AY20" s="140"/>
      <c r="AZ20" s="140"/>
      <c r="BA20" s="140"/>
      <c r="BB20" s="140"/>
      <c r="BC20" s="140"/>
      <c r="BD20" s="140"/>
      <c r="BE20" s="139">
        <v>8</v>
      </c>
      <c r="BF20" s="140"/>
      <c r="BG20" s="140"/>
      <c r="BH20" s="140"/>
      <c r="BI20" s="140"/>
      <c r="BJ20" s="140"/>
      <c r="BK20" s="140"/>
      <c r="BL20" s="139"/>
      <c r="BM20" s="140"/>
      <c r="BN20" s="140"/>
      <c r="BO20" s="140"/>
      <c r="BP20" s="140"/>
      <c r="BQ20" s="140"/>
      <c r="BR20" s="140"/>
      <c r="BS20" s="112">
        <f t="shared" si="0"/>
        <v>0</v>
      </c>
      <c r="BT20" s="112">
        <f t="shared" si="2"/>
        <v>24</v>
      </c>
    </row>
    <row r="21" spans="1:72" ht="15">
      <c r="A21" s="3">
        <v>55</v>
      </c>
      <c r="B21" s="3" t="str">
        <f>'Bang luong'!B21</f>
        <v>NV57</v>
      </c>
      <c r="C21" s="3" t="str">
        <f>VLOOKUP(B21,'Bang luong'!$B$5:$C$58,2,0)</f>
        <v>Lê Tấn Phát</v>
      </c>
      <c r="D21" s="3" t="str">
        <f>VLOOKUP(B21,'Bang luong'!$B$5:$D$99,3,0)</f>
        <v>Lái xe cơ giới</v>
      </c>
      <c r="E21" s="138">
        <v>1</v>
      </c>
      <c r="F21" s="138">
        <v>1</v>
      </c>
      <c r="G21" s="138">
        <v>1</v>
      </c>
      <c r="H21" s="143"/>
      <c r="I21" s="138">
        <v>1</v>
      </c>
      <c r="J21" s="138">
        <v>1</v>
      </c>
      <c r="K21" s="138">
        <v>1</v>
      </c>
      <c r="L21" s="138">
        <v>1</v>
      </c>
      <c r="M21" s="138">
        <v>1</v>
      </c>
      <c r="N21" s="138">
        <v>1</v>
      </c>
      <c r="O21" s="143"/>
      <c r="P21" s="138">
        <v>1</v>
      </c>
      <c r="Q21" s="138">
        <v>1</v>
      </c>
      <c r="R21" s="138">
        <v>1</v>
      </c>
      <c r="S21" s="138">
        <v>1</v>
      </c>
      <c r="T21" s="138">
        <v>1</v>
      </c>
      <c r="U21" s="138">
        <v>1</v>
      </c>
      <c r="V21" s="143"/>
      <c r="W21" s="138">
        <v>1</v>
      </c>
      <c r="X21" s="138">
        <v>1</v>
      </c>
      <c r="Y21" s="138">
        <v>1</v>
      </c>
      <c r="Z21" s="138">
        <v>1</v>
      </c>
      <c r="AA21" s="138">
        <v>1</v>
      </c>
      <c r="AB21" s="138">
        <v>0</v>
      </c>
      <c r="AC21" s="143"/>
      <c r="AD21" s="141">
        <v>1</v>
      </c>
      <c r="AE21" s="138">
        <v>1</v>
      </c>
      <c r="AF21" s="138">
        <v>1</v>
      </c>
      <c r="AG21" s="138">
        <v>1</v>
      </c>
      <c r="AH21" s="138">
        <v>1</v>
      </c>
      <c r="AI21" s="138">
        <v>1</v>
      </c>
      <c r="AJ21" s="112">
        <f t="shared" si="3"/>
        <v>26</v>
      </c>
      <c r="AK21" s="112">
        <f t="shared" si="1"/>
        <v>0</v>
      </c>
      <c r="AL21" s="112">
        <f t="shared" si="4"/>
        <v>0</v>
      </c>
      <c r="AM21" s="112">
        <f t="shared" si="5"/>
        <v>0</v>
      </c>
      <c r="AN21" s="140">
        <v>1</v>
      </c>
      <c r="AO21" s="140"/>
      <c r="AP21" s="140"/>
      <c r="AQ21" s="139">
        <v>8</v>
      </c>
      <c r="AR21" s="140"/>
      <c r="AS21" s="140">
        <v>1</v>
      </c>
      <c r="AT21" s="140"/>
      <c r="AU21" s="140">
        <v>1</v>
      </c>
      <c r="AV21" s="140"/>
      <c r="AW21" s="140"/>
      <c r="AX21" s="139">
        <v>8</v>
      </c>
      <c r="AY21" s="140">
        <v>1</v>
      </c>
      <c r="AZ21" s="140">
        <v>1</v>
      </c>
      <c r="BA21" s="140">
        <v>1</v>
      </c>
      <c r="BB21" s="140">
        <v>1</v>
      </c>
      <c r="BC21" s="140">
        <v>1</v>
      </c>
      <c r="BD21" s="140"/>
      <c r="BE21" s="139"/>
      <c r="BF21" s="140">
        <v>1</v>
      </c>
      <c r="BG21" s="140"/>
      <c r="BH21" s="140"/>
      <c r="BI21" s="140">
        <v>1</v>
      </c>
      <c r="BJ21" s="140">
        <v>1</v>
      </c>
      <c r="BK21" s="140"/>
      <c r="BL21" s="139">
        <v>8</v>
      </c>
      <c r="BM21" s="140"/>
      <c r="BN21" s="140"/>
      <c r="BO21" s="140"/>
      <c r="BP21" s="140"/>
      <c r="BQ21" s="140"/>
      <c r="BR21" s="140"/>
      <c r="BS21" s="112">
        <f t="shared" si="0"/>
        <v>11</v>
      </c>
      <c r="BT21" s="112">
        <f t="shared" si="2"/>
        <v>24</v>
      </c>
    </row>
    <row r="22" spans="1:72" ht="15">
      <c r="A22" s="3">
        <v>56</v>
      </c>
      <c r="B22" s="3" t="str">
        <f>'Bang luong'!B22</f>
        <v>NV58</v>
      </c>
      <c r="C22" s="3" t="str">
        <f>VLOOKUP(B22,'Bang luong'!$B$5:$C$58,2,0)</f>
        <v>Triệu Minh Tú</v>
      </c>
      <c r="D22" s="3" t="str">
        <f>VLOOKUP(B22,'Bang luong'!$B$5:$D$99,3,0)</f>
        <v>Lái xe cơ giới</v>
      </c>
      <c r="E22" s="138">
        <v>1</v>
      </c>
      <c r="F22" s="138">
        <v>1</v>
      </c>
      <c r="G22" s="138">
        <v>1</v>
      </c>
      <c r="H22" s="143"/>
      <c r="I22" s="138">
        <v>1</v>
      </c>
      <c r="J22" s="138">
        <v>1</v>
      </c>
      <c r="K22" s="138">
        <v>1</v>
      </c>
      <c r="L22" s="138">
        <v>1</v>
      </c>
      <c r="M22" s="138">
        <v>1</v>
      </c>
      <c r="N22" s="138">
        <v>1</v>
      </c>
      <c r="O22" s="143"/>
      <c r="P22" s="138">
        <v>0</v>
      </c>
      <c r="Q22" s="138">
        <v>1</v>
      </c>
      <c r="R22" s="138">
        <v>1</v>
      </c>
      <c r="S22" s="138">
        <v>1</v>
      </c>
      <c r="T22" s="138">
        <v>1</v>
      </c>
      <c r="U22" s="138">
        <v>1</v>
      </c>
      <c r="V22" s="143"/>
      <c r="W22" s="138">
        <v>1</v>
      </c>
      <c r="X22" s="138">
        <v>1</v>
      </c>
      <c r="Y22" s="138">
        <v>1</v>
      </c>
      <c r="Z22" s="138">
        <v>1</v>
      </c>
      <c r="AA22" s="138">
        <v>1</v>
      </c>
      <c r="AB22" s="138">
        <v>1</v>
      </c>
      <c r="AC22" s="143"/>
      <c r="AD22" s="141">
        <v>0</v>
      </c>
      <c r="AE22" s="138">
        <v>0</v>
      </c>
      <c r="AF22" s="138">
        <v>1</v>
      </c>
      <c r="AG22" s="138">
        <v>1</v>
      </c>
      <c r="AH22" s="138">
        <v>1</v>
      </c>
      <c r="AI22" s="138">
        <v>1</v>
      </c>
      <c r="AJ22" s="112">
        <f t="shared" si="3"/>
        <v>24</v>
      </c>
      <c r="AK22" s="112">
        <f t="shared" si="1"/>
        <v>0</v>
      </c>
      <c r="AL22" s="112">
        <f t="shared" si="4"/>
        <v>0</v>
      </c>
      <c r="AM22" s="112">
        <f t="shared" si="5"/>
        <v>0</v>
      </c>
      <c r="AN22" s="153"/>
      <c r="AO22" s="153"/>
      <c r="AP22" s="153"/>
      <c r="AQ22" s="139">
        <v>8</v>
      </c>
      <c r="AR22" s="153"/>
      <c r="AS22" s="153"/>
      <c r="AT22" s="153"/>
      <c r="AU22" s="153"/>
      <c r="AV22" s="153"/>
      <c r="AW22" s="153"/>
      <c r="AX22" s="139">
        <v>8</v>
      </c>
      <c r="AY22" s="153"/>
      <c r="AZ22" s="153"/>
      <c r="BA22" s="153"/>
      <c r="BB22" s="153"/>
      <c r="BC22" s="153"/>
      <c r="BD22" s="153"/>
      <c r="BE22" s="139"/>
      <c r="BF22" s="153"/>
      <c r="BG22" s="153"/>
      <c r="BH22" s="153"/>
      <c r="BI22" s="153"/>
      <c r="BJ22" s="153"/>
      <c r="BK22" s="153"/>
      <c r="BL22" s="139"/>
      <c r="BM22" s="153"/>
      <c r="BN22" s="153"/>
      <c r="BO22" s="153"/>
      <c r="BP22" s="153"/>
      <c r="BQ22" s="153"/>
      <c r="BR22" s="153"/>
      <c r="BS22" s="112">
        <f t="shared" si="0"/>
        <v>0</v>
      </c>
      <c r="BT22" s="112">
        <f t="shared" si="2"/>
        <v>16</v>
      </c>
    </row>
    <row r="23" spans="1:72" ht="15">
      <c r="A23" s="3">
        <v>57</v>
      </c>
      <c r="B23" s="3" t="str">
        <f>'Bang luong'!B23</f>
        <v>NV59</v>
      </c>
      <c r="C23" s="3" t="str">
        <f>VLOOKUP(B23,'Bang luong'!$B$5:$C$58,2,0)</f>
        <v>Triệu Minh Thắng</v>
      </c>
      <c r="D23" s="3" t="str">
        <f>VLOOKUP(B23,'Bang luong'!$B$5:$D$99,3,0)</f>
        <v>Lái xe cơ giới</v>
      </c>
      <c r="E23" s="138" t="s">
        <v>506</v>
      </c>
      <c r="F23" s="138">
        <v>1</v>
      </c>
      <c r="G23" s="138">
        <v>1</v>
      </c>
      <c r="H23" s="143"/>
      <c r="I23" s="138">
        <v>1</v>
      </c>
      <c r="J23" s="138">
        <v>1</v>
      </c>
      <c r="K23" s="138">
        <v>1</v>
      </c>
      <c r="L23" s="138">
        <v>1</v>
      </c>
      <c r="M23" s="138">
        <v>1</v>
      </c>
      <c r="N23" s="138">
        <v>1</v>
      </c>
      <c r="O23" s="143"/>
      <c r="P23" s="138">
        <v>1</v>
      </c>
      <c r="Q23" s="138">
        <v>1</v>
      </c>
      <c r="R23" s="138">
        <v>1</v>
      </c>
      <c r="S23" s="138">
        <v>1</v>
      </c>
      <c r="T23" s="138">
        <v>1</v>
      </c>
      <c r="U23" s="138">
        <v>1</v>
      </c>
      <c r="V23" s="143"/>
      <c r="W23" s="138">
        <v>0</v>
      </c>
      <c r="X23" s="138">
        <v>1</v>
      </c>
      <c r="Y23" s="138">
        <v>1</v>
      </c>
      <c r="Z23" s="138">
        <v>1</v>
      </c>
      <c r="AA23" s="138">
        <v>1</v>
      </c>
      <c r="AB23" s="138">
        <v>1</v>
      </c>
      <c r="AC23" s="143"/>
      <c r="AD23" s="141">
        <v>1</v>
      </c>
      <c r="AE23" s="138">
        <v>1</v>
      </c>
      <c r="AF23" s="138">
        <v>1</v>
      </c>
      <c r="AG23" s="138">
        <v>1</v>
      </c>
      <c r="AH23" s="138">
        <v>1</v>
      </c>
      <c r="AI23" s="138">
        <v>1</v>
      </c>
      <c r="AJ23" s="112">
        <f t="shared" si="3"/>
        <v>25</v>
      </c>
      <c r="AK23" s="112">
        <f t="shared" si="1"/>
        <v>0</v>
      </c>
      <c r="AL23" s="112">
        <f t="shared" si="4"/>
        <v>1</v>
      </c>
      <c r="AM23" s="112">
        <f t="shared" si="5"/>
        <v>0</v>
      </c>
      <c r="AN23" s="153"/>
      <c r="AO23" s="153"/>
      <c r="AP23" s="153"/>
      <c r="AQ23" s="139">
        <v>8</v>
      </c>
      <c r="AR23" s="153"/>
      <c r="AS23" s="153"/>
      <c r="AT23" s="153"/>
      <c r="AU23" s="153"/>
      <c r="AV23" s="153"/>
      <c r="AW23" s="153"/>
      <c r="AX23" s="139"/>
      <c r="AY23" s="153">
        <v>1</v>
      </c>
      <c r="AZ23" s="153">
        <v>1</v>
      </c>
      <c r="BA23" s="153"/>
      <c r="BB23" s="153">
        <v>1</v>
      </c>
      <c r="BC23" s="153">
        <v>1</v>
      </c>
      <c r="BD23" s="153"/>
      <c r="BE23" s="139">
        <v>8</v>
      </c>
      <c r="BF23" s="153"/>
      <c r="BG23" s="153"/>
      <c r="BH23" s="153"/>
      <c r="BI23" s="153">
        <v>1</v>
      </c>
      <c r="BJ23" s="153">
        <v>1</v>
      </c>
      <c r="BK23" s="153"/>
      <c r="BL23" s="139">
        <v>8</v>
      </c>
      <c r="BM23" s="153"/>
      <c r="BN23" s="153"/>
      <c r="BO23" s="153"/>
      <c r="BP23" s="153"/>
      <c r="BQ23" s="153"/>
      <c r="BR23" s="153"/>
      <c r="BS23" s="112">
        <f t="shared" si="0"/>
        <v>6</v>
      </c>
      <c r="BT23" s="112">
        <f t="shared" si="2"/>
        <v>24</v>
      </c>
    </row>
    <row r="24" spans="1:72" ht="15">
      <c r="A24" s="3">
        <v>58</v>
      </c>
      <c r="B24" s="3" t="str">
        <f>'Bang luong'!B24</f>
        <v>NV60</v>
      </c>
      <c r="C24" s="3" t="str">
        <f>VLOOKUP(B24,'Bang luong'!$B$5:$C$58,2,0)</f>
        <v>Thạch Giàu</v>
      </c>
      <c r="D24" s="3" t="str">
        <f>VLOOKUP(B24,'Bang luong'!$B$5:$D$99,3,0)</f>
        <v>Lái xe cơ giới</v>
      </c>
      <c r="E24" s="138">
        <v>1</v>
      </c>
      <c r="F24" s="138">
        <v>1</v>
      </c>
      <c r="G24" s="138">
        <v>1</v>
      </c>
      <c r="H24" s="143"/>
      <c r="I24" s="138">
        <v>1</v>
      </c>
      <c r="J24" s="138">
        <v>1</v>
      </c>
      <c r="K24" s="138">
        <v>1</v>
      </c>
      <c r="L24" s="138">
        <v>1</v>
      </c>
      <c r="M24" s="138">
        <v>1</v>
      </c>
      <c r="N24" s="138">
        <v>0.5</v>
      </c>
      <c r="O24" s="143"/>
      <c r="P24" s="138">
        <v>1</v>
      </c>
      <c r="Q24" s="138">
        <v>1</v>
      </c>
      <c r="R24" s="138">
        <v>1</v>
      </c>
      <c r="S24" s="138">
        <v>1</v>
      </c>
      <c r="T24" s="138">
        <v>1</v>
      </c>
      <c r="U24" s="138">
        <v>1</v>
      </c>
      <c r="V24" s="143"/>
      <c r="W24" s="138">
        <v>1</v>
      </c>
      <c r="X24" s="138">
        <v>1</v>
      </c>
      <c r="Y24" s="138">
        <v>1</v>
      </c>
      <c r="Z24" s="138">
        <v>1</v>
      </c>
      <c r="AA24" s="138">
        <v>1</v>
      </c>
      <c r="AB24" s="138">
        <v>1</v>
      </c>
      <c r="AC24" s="143"/>
      <c r="AD24" s="141">
        <v>1</v>
      </c>
      <c r="AE24" s="138" t="s">
        <v>506</v>
      </c>
      <c r="AF24" s="138" t="s">
        <v>506</v>
      </c>
      <c r="AG24" s="138">
        <v>1</v>
      </c>
      <c r="AH24" s="138">
        <v>1</v>
      </c>
      <c r="AI24" s="138">
        <v>1</v>
      </c>
      <c r="AJ24" s="112">
        <f t="shared" si="3"/>
        <v>24.5</v>
      </c>
      <c r="AK24" s="112">
        <f t="shared" si="1"/>
        <v>0</v>
      </c>
      <c r="AL24" s="112">
        <f t="shared" si="4"/>
        <v>2</v>
      </c>
      <c r="AM24" s="112">
        <f t="shared" si="5"/>
        <v>0</v>
      </c>
      <c r="AN24" s="153">
        <v>1</v>
      </c>
      <c r="AO24" s="153"/>
      <c r="AP24" s="153"/>
      <c r="AQ24" s="139">
        <v>8</v>
      </c>
      <c r="AR24" s="153"/>
      <c r="AS24" s="153">
        <v>1</v>
      </c>
      <c r="AT24" s="153"/>
      <c r="AU24" s="153">
        <v>1</v>
      </c>
      <c r="AV24" s="153">
        <v>1</v>
      </c>
      <c r="AW24" s="153"/>
      <c r="AX24" s="139"/>
      <c r="AY24" s="153">
        <v>1</v>
      </c>
      <c r="AZ24" s="153">
        <v>1</v>
      </c>
      <c r="BA24" s="153">
        <v>1</v>
      </c>
      <c r="BB24" s="153">
        <v>1</v>
      </c>
      <c r="BC24" s="153">
        <v>1</v>
      </c>
      <c r="BD24" s="153"/>
      <c r="BE24" s="139">
        <v>8</v>
      </c>
      <c r="BF24" s="153">
        <v>1</v>
      </c>
      <c r="BG24" s="153"/>
      <c r="BH24" s="153"/>
      <c r="BI24" s="153">
        <v>1</v>
      </c>
      <c r="BJ24" s="153">
        <v>1</v>
      </c>
      <c r="BK24" s="153"/>
      <c r="BL24" s="139">
        <v>8</v>
      </c>
      <c r="BM24" s="153"/>
      <c r="BN24" s="153"/>
      <c r="BO24" s="153"/>
      <c r="BP24" s="153"/>
      <c r="BQ24" s="153"/>
      <c r="BR24" s="153"/>
      <c r="BS24" s="112">
        <f t="shared" si="0"/>
        <v>12</v>
      </c>
      <c r="BT24" s="112">
        <f t="shared" si="2"/>
        <v>24</v>
      </c>
    </row>
    <row r="25" spans="1:72" ht="15">
      <c r="A25" s="3">
        <v>59</v>
      </c>
      <c r="B25" s="3" t="str">
        <f>'Bang luong'!B25</f>
        <v>NV61</v>
      </c>
      <c r="C25" s="3" t="str">
        <f>VLOOKUP(B25,'Bang luong'!$B$5:$C$58,2,0)</f>
        <v>Nguyễn Quốc Việt</v>
      </c>
      <c r="D25" s="3" t="str">
        <f>VLOOKUP(B25,'Bang luong'!$B$5:$D$99,3,0)</f>
        <v>Lái xe cơ giới</v>
      </c>
      <c r="E25" s="138">
        <v>1</v>
      </c>
      <c r="F25" s="138">
        <v>1</v>
      </c>
      <c r="G25" s="138">
        <v>1</v>
      </c>
      <c r="H25" s="143"/>
      <c r="I25" s="138">
        <v>1</v>
      </c>
      <c r="J25" s="138">
        <v>1</v>
      </c>
      <c r="K25" s="138">
        <v>0</v>
      </c>
      <c r="L25" s="138">
        <v>1</v>
      </c>
      <c r="M25" s="138">
        <v>1</v>
      </c>
      <c r="N25" s="138">
        <v>1</v>
      </c>
      <c r="O25" s="143"/>
      <c r="P25" s="138">
        <v>1</v>
      </c>
      <c r="Q25" s="138">
        <v>1</v>
      </c>
      <c r="R25" s="138">
        <v>1</v>
      </c>
      <c r="S25" s="138">
        <v>1</v>
      </c>
      <c r="T25" s="138">
        <v>1</v>
      </c>
      <c r="U25" s="138">
        <v>1</v>
      </c>
      <c r="V25" s="143"/>
      <c r="W25" s="138">
        <v>1</v>
      </c>
      <c r="X25" s="138">
        <v>1</v>
      </c>
      <c r="Y25" s="138">
        <v>0.5</v>
      </c>
      <c r="Z25" s="138">
        <v>1</v>
      </c>
      <c r="AA25" s="138">
        <v>1</v>
      </c>
      <c r="AB25" s="138">
        <v>1</v>
      </c>
      <c r="AC25" s="143"/>
      <c r="AD25" s="141">
        <v>1</v>
      </c>
      <c r="AE25" s="138">
        <v>1</v>
      </c>
      <c r="AF25" s="138">
        <v>1</v>
      </c>
      <c r="AG25" s="138">
        <v>1</v>
      </c>
      <c r="AH25" s="138">
        <v>1</v>
      </c>
      <c r="AI25" s="138">
        <v>1</v>
      </c>
      <c r="AJ25" s="112">
        <f t="shared" si="3"/>
        <v>25.5</v>
      </c>
      <c r="AK25" s="112">
        <f t="shared" si="1"/>
        <v>0</v>
      </c>
      <c r="AL25" s="112">
        <f t="shared" si="4"/>
        <v>0</v>
      </c>
      <c r="AM25" s="112">
        <f t="shared" si="5"/>
        <v>0</v>
      </c>
      <c r="AN25" s="153"/>
      <c r="AO25" s="153"/>
      <c r="AP25" s="153"/>
      <c r="AQ25" s="139">
        <v>8</v>
      </c>
      <c r="AR25" s="153"/>
      <c r="AS25" s="153">
        <v>1</v>
      </c>
      <c r="AT25" s="153"/>
      <c r="AU25" s="153">
        <v>1</v>
      </c>
      <c r="AV25" s="153">
        <v>1</v>
      </c>
      <c r="AW25" s="153"/>
      <c r="AX25" s="139">
        <v>8</v>
      </c>
      <c r="AY25" s="153">
        <v>1</v>
      </c>
      <c r="AZ25" s="153">
        <v>1</v>
      </c>
      <c r="BA25" s="153">
        <v>1</v>
      </c>
      <c r="BB25" s="153">
        <v>1</v>
      </c>
      <c r="BC25" s="153"/>
      <c r="BD25" s="153"/>
      <c r="BE25" s="139">
        <v>8</v>
      </c>
      <c r="BF25" s="153">
        <v>1</v>
      </c>
      <c r="BG25" s="153"/>
      <c r="BH25" s="153"/>
      <c r="BI25" s="153"/>
      <c r="BJ25" s="153"/>
      <c r="BK25" s="153"/>
      <c r="BL25" s="139">
        <v>8</v>
      </c>
      <c r="BM25" s="153"/>
      <c r="BN25" s="153"/>
      <c r="BO25" s="153"/>
      <c r="BP25" s="153"/>
      <c r="BQ25" s="153"/>
      <c r="BR25" s="153"/>
      <c r="BS25" s="112">
        <f t="shared" si="0"/>
        <v>8</v>
      </c>
      <c r="BT25" s="112">
        <f t="shared" si="2"/>
        <v>32</v>
      </c>
    </row>
    <row r="26" spans="1:72" ht="15">
      <c r="A26" s="3">
        <v>60</v>
      </c>
      <c r="B26" s="3" t="str">
        <f>'Bang luong'!B26</f>
        <v>NV62</v>
      </c>
      <c r="C26" s="3" t="str">
        <f>VLOOKUP(B26,'Bang luong'!$B$5:$C$58,2,0)</f>
        <v>Nguyễn Trọng Minh</v>
      </c>
      <c r="D26" s="3" t="str">
        <f>VLOOKUP(B26,'Bang luong'!$B$5:$D$99,3,0)</f>
        <v>Lái xe cơ giới</v>
      </c>
      <c r="E26" s="138">
        <v>0.5</v>
      </c>
      <c r="F26" s="138">
        <v>0</v>
      </c>
      <c r="G26" s="138">
        <v>1</v>
      </c>
      <c r="H26" s="143"/>
      <c r="I26" s="138">
        <v>1</v>
      </c>
      <c r="J26" s="138">
        <v>1</v>
      </c>
      <c r="K26" s="138">
        <v>1</v>
      </c>
      <c r="L26" s="138">
        <v>1</v>
      </c>
      <c r="M26" s="138">
        <v>1</v>
      </c>
      <c r="N26" s="138">
        <v>1</v>
      </c>
      <c r="O26" s="143"/>
      <c r="P26" s="138">
        <v>1</v>
      </c>
      <c r="Q26" s="138">
        <v>1</v>
      </c>
      <c r="R26" s="138">
        <v>1</v>
      </c>
      <c r="S26" s="138">
        <v>1</v>
      </c>
      <c r="T26" s="138">
        <v>1</v>
      </c>
      <c r="U26" s="138">
        <v>1</v>
      </c>
      <c r="V26" s="143"/>
      <c r="W26" s="138">
        <v>1</v>
      </c>
      <c r="X26" s="138">
        <v>1</v>
      </c>
      <c r="Y26" s="138">
        <v>1</v>
      </c>
      <c r="Z26" s="138">
        <v>1</v>
      </c>
      <c r="AA26" s="138">
        <v>1</v>
      </c>
      <c r="AB26" s="138">
        <v>1</v>
      </c>
      <c r="AC26" s="143"/>
      <c r="AD26" s="141">
        <v>1</v>
      </c>
      <c r="AE26" s="138">
        <v>1</v>
      </c>
      <c r="AF26" s="138">
        <v>1</v>
      </c>
      <c r="AG26" s="138">
        <v>1</v>
      </c>
      <c r="AH26" s="138">
        <v>1</v>
      </c>
      <c r="AI26" s="138">
        <v>1</v>
      </c>
      <c r="AJ26" s="112">
        <f t="shared" si="3"/>
        <v>25.5</v>
      </c>
      <c r="AK26" s="112">
        <f t="shared" si="1"/>
        <v>0</v>
      </c>
      <c r="AL26" s="112">
        <f t="shared" si="4"/>
        <v>0</v>
      </c>
      <c r="AM26" s="112">
        <f t="shared" si="5"/>
        <v>0</v>
      </c>
      <c r="AN26" s="154"/>
      <c r="AO26" s="154"/>
      <c r="AP26" s="154"/>
      <c r="AQ26" s="139">
        <v>8</v>
      </c>
      <c r="AR26" s="154"/>
      <c r="AS26" s="154">
        <v>1</v>
      </c>
      <c r="AT26" s="154"/>
      <c r="AU26" s="154">
        <v>1</v>
      </c>
      <c r="AV26" s="154">
        <v>1</v>
      </c>
      <c r="AW26" s="154"/>
      <c r="AX26" s="139"/>
      <c r="AY26" s="153">
        <v>1</v>
      </c>
      <c r="AZ26" s="153">
        <v>1</v>
      </c>
      <c r="BA26" s="153">
        <v>1</v>
      </c>
      <c r="BB26" s="153">
        <v>1</v>
      </c>
      <c r="BC26" s="153">
        <v>1</v>
      </c>
      <c r="BD26" s="153">
        <v>1</v>
      </c>
      <c r="BE26" s="139"/>
      <c r="BF26" s="153">
        <v>1</v>
      </c>
      <c r="BG26" s="153"/>
      <c r="BH26" s="153"/>
      <c r="BI26" s="153">
        <v>1</v>
      </c>
      <c r="BJ26" s="153">
        <v>1</v>
      </c>
      <c r="BK26" s="153"/>
      <c r="BL26" s="139">
        <v>8</v>
      </c>
      <c r="BM26" s="153"/>
      <c r="BN26" s="153"/>
      <c r="BO26" s="153"/>
      <c r="BP26" s="153"/>
      <c r="BQ26" s="153"/>
      <c r="BR26" s="153"/>
      <c r="BS26" s="112">
        <f t="shared" si="0"/>
        <v>12</v>
      </c>
      <c r="BT26" s="112">
        <f t="shared" si="2"/>
        <v>16</v>
      </c>
    </row>
    <row r="27" spans="1:72" ht="15">
      <c r="A27" s="3">
        <v>61</v>
      </c>
      <c r="B27" s="3" t="str">
        <f>'Bang luong'!B27</f>
        <v>NV63</v>
      </c>
      <c r="C27" s="3" t="str">
        <f>VLOOKUP(B27,'Bang luong'!$B$5:$C$58,2,0)</f>
        <v>Trần Thanh Hậu</v>
      </c>
      <c r="D27" s="3" t="str">
        <f>VLOOKUP(B27,'Bang luong'!$B$5:$D$99,3,0)</f>
        <v>Lái xe cơ giới</v>
      </c>
      <c r="E27" s="138">
        <v>1</v>
      </c>
      <c r="F27" s="138">
        <v>1</v>
      </c>
      <c r="G27" s="138">
        <v>1</v>
      </c>
      <c r="H27" s="143"/>
      <c r="I27" s="138">
        <v>1</v>
      </c>
      <c r="J27" s="138">
        <v>1</v>
      </c>
      <c r="K27" s="138">
        <v>0</v>
      </c>
      <c r="L27" s="138">
        <v>1</v>
      </c>
      <c r="M27" s="138">
        <v>1</v>
      </c>
      <c r="N27" s="138">
        <v>1</v>
      </c>
      <c r="O27" s="143"/>
      <c r="P27" s="138">
        <v>1</v>
      </c>
      <c r="Q27" s="138">
        <v>1</v>
      </c>
      <c r="R27" s="138">
        <v>1</v>
      </c>
      <c r="S27" s="138">
        <v>1</v>
      </c>
      <c r="T27" s="138">
        <v>1</v>
      </c>
      <c r="U27" s="138">
        <v>1</v>
      </c>
      <c r="V27" s="143"/>
      <c r="W27" s="138">
        <v>1</v>
      </c>
      <c r="X27" s="138">
        <v>1</v>
      </c>
      <c r="Y27" s="138">
        <v>1</v>
      </c>
      <c r="Z27" s="138">
        <v>1</v>
      </c>
      <c r="AA27" s="138">
        <v>1</v>
      </c>
      <c r="AB27" s="138">
        <v>1</v>
      </c>
      <c r="AC27" s="143"/>
      <c r="AD27" s="138">
        <v>1</v>
      </c>
      <c r="AE27" s="138">
        <v>1</v>
      </c>
      <c r="AF27" s="138">
        <v>1</v>
      </c>
      <c r="AG27" s="138">
        <v>1</v>
      </c>
      <c r="AH27" s="138">
        <v>1</v>
      </c>
      <c r="AI27" s="138">
        <v>1</v>
      </c>
      <c r="AJ27" s="112">
        <f t="shared" si="3"/>
        <v>26</v>
      </c>
      <c r="AK27" s="112">
        <f t="shared" si="1"/>
        <v>0</v>
      </c>
      <c r="AL27" s="112">
        <f t="shared" si="4"/>
        <v>0</v>
      </c>
      <c r="AM27" s="112">
        <f t="shared" si="5"/>
        <v>0</v>
      </c>
      <c r="AN27" s="153"/>
      <c r="AO27" s="153"/>
      <c r="AP27" s="153"/>
      <c r="AQ27" s="139">
        <v>8</v>
      </c>
      <c r="AR27" s="153"/>
      <c r="AS27" s="153"/>
      <c r="AT27" s="153"/>
      <c r="AU27" s="153"/>
      <c r="AV27" s="153"/>
      <c r="AW27" s="153"/>
      <c r="AX27" s="139">
        <v>8</v>
      </c>
      <c r="AY27" s="155"/>
      <c r="AZ27" s="155"/>
      <c r="BA27" s="155"/>
      <c r="BB27" s="155"/>
      <c r="BC27" s="155"/>
      <c r="BD27" s="155"/>
      <c r="BE27" s="139">
        <v>8</v>
      </c>
      <c r="BF27" s="155"/>
      <c r="BG27" s="155"/>
      <c r="BH27" s="155"/>
      <c r="BI27" s="155"/>
      <c r="BJ27" s="155"/>
      <c r="BK27" s="155"/>
      <c r="BL27" s="139">
        <v>8</v>
      </c>
      <c r="BM27" s="155"/>
      <c r="BN27" s="155"/>
      <c r="BO27" s="155"/>
      <c r="BP27" s="155"/>
      <c r="BQ27" s="155"/>
      <c r="BR27" s="155"/>
      <c r="BS27" s="112">
        <f t="shared" si="0"/>
        <v>0</v>
      </c>
      <c r="BT27" s="112">
        <f t="shared" si="2"/>
        <v>32</v>
      </c>
    </row>
    <row r="28" spans="1:72" ht="15">
      <c r="A28" s="3">
        <v>62</v>
      </c>
      <c r="B28" s="3" t="str">
        <f>'Bang luong'!B28</f>
        <v>NV64</v>
      </c>
      <c r="C28" s="3" t="str">
        <f>VLOOKUP(B28,'Bang luong'!$B$5:$C$58,2,0)</f>
        <v xml:space="preserve">Phan Văn Bạn </v>
      </c>
      <c r="D28" s="3" t="str">
        <f>VLOOKUP(B28,'Bang luong'!$B$5:$D$99,3,0)</f>
        <v>Lái xe cơ giới</v>
      </c>
      <c r="E28" s="138">
        <v>1</v>
      </c>
      <c r="F28" s="138">
        <v>1</v>
      </c>
      <c r="G28" s="138">
        <v>1</v>
      </c>
      <c r="H28" s="143"/>
      <c r="I28" s="138">
        <v>1</v>
      </c>
      <c r="J28" s="138">
        <v>1</v>
      </c>
      <c r="K28" s="138">
        <v>1</v>
      </c>
      <c r="L28" s="138">
        <v>1</v>
      </c>
      <c r="M28" s="138">
        <v>1</v>
      </c>
      <c r="N28" s="138">
        <v>1</v>
      </c>
      <c r="O28" s="143"/>
      <c r="P28" s="138">
        <v>1</v>
      </c>
      <c r="Q28" s="138">
        <v>1</v>
      </c>
      <c r="R28" s="138">
        <v>1</v>
      </c>
      <c r="S28" s="138">
        <v>1</v>
      </c>
      <c r="T28" s="138">
        <v>1</v>
      </c>
      <c r="U28" s="138">
        <v>1</v>
      </c>
      <c r="V28" s="143"/>
      <c r="W28" s="138">
        <v>1</v>
      </c>
      <c r="X28" s="138">
        <v>1</v>
      </c>
      <c r="Y28" s="138">
        <v>1</v>
      </c>
      <c r="Z28" s="138">
        <v>1</v>
      </c>
      <c r="AA28" s="138">
        <v>1</v>
      </c>
      <c r="AB28" s="138">
        <v>1</v>
      </c>
      <c r="AC28" s="143"/>
      <c r="AD28" s="141">
        <v>1</v>
      </c>
      <c r="AE28" s="138">
        <v>1</v>
      </c>
      <c r="AF28" s="138">
        <v>1</v>
      </c>
      <c r="AG28" s="138">
        <v>1</v>
      </c>
      <c r="AH28" s="138">
        <v>1</v>
      </c>
      <c r="AI28" s="138" t="s">
        <v>506</v>
      </c>
      <c r="AJ28" s="112">
        <f t="shared" si="3"/>
        <v>26</v>
      </c>
      <c r="AK28" s="112">
        <f t="shared" si="1"/>
        <v>0</v>
      </c>
      <c r="AL28" s="112">
        <f t="shared" si="4"/>
        <v>1</v>
      </c>
      <c r="AM28" s="112">
        <f t="shared" si="5"/>
        <v>0</v>
      </c>
      <c r="AN28" s="153">
        <v>1</v>
      </c>
      <c r="AO28" s="153"/>
      <c r="AP28" s="153"/>
      <c r="AQ28" s="139">
        <v>8</v>
      </c>
      <c r="AR28" s="153">
        <v>1</v>
      </c>
      <c r="AS28" s="153">
        <v>1</v>
      </c>
      <c r="AT28" s="153"/>
      <c r="AU28" s="153">
        <v>1</v>
      </c>
      <c r="AV28" s="153">
        <v>1</v>
      </c>
      <c r="AW28" s="153"/>
      <c r="AX28" s="139">
        <v>8</v>
      </c>
      <c r="AY28" s="155">
        <v>1</v>
      </c>
      <c r="AZ28" s="155">
        <v>1</v>
      </c>
      <c r="BA28" s="155">
        <v>1</v>
      </c>
      <c r="BB28" s="155">
        <v>1</v>
      </c>
      <c r="BC28" s="155">
        <v>1</v>
      </c>
      <c r="BD28" s="155"/>
      <c r="BE28" s="139"/>
      <c r="BF28" s="155">
        <v>1</v>
      </c>
      <c r="BG28" s="155"/>
      <c r="BH28" s="155"/>
      <c r="BI28" s="155">
        <v>1</v>
      </c>
      <c r="BJ28" s="155">
        <v>1</v>
      </c>
      <c r="BK28" s="155"/>
      <c r="BL28" s="139">
        <v>8</v>
      </c>
      <c r="BM28" s="155"/>
      <c r="BN28" s="155"/>
      <c r="BO28" s="155"/>
      <c r="BP28" s="155"/>
      <c r="BQ28" s="155"/>
      <c r="BR28" s="155"/>
      <c r="BS28" s="112">
        <f t="shared" si="0"/>
        <v>13</v>
      </c>
      <c r="BT28" s="112">
        <f t="shared" si="2"/>
        <v>24</v>
      </c>
    </row>
    <row r="29" spans="1:72" ht="15">
      <c r="A29" s="3">
        <v>63</v>
      </c>
      <c r="B29" s="3" t="str">
        <f>'Bang luong'!B29</f>
        <v>NV65</v>
      </c>
      <c r="C29" s="3" t="str">
        <f>VLOOKUP(B29,'Bang luong'!$B$5:$C$58,2,0)</f>
        <v>Châu Thành Nhân</v>
      </c>
      <c r="D29" s="3" t="str">
        <f>VLOOKUP(B29,'Bang luong'!$B$5:$D$99,3,0)</f>
        <v>Lái xe cơ giới</v>
      </c>
      <c r="E29" s="138">
        <v>1</v>
      </c>
      <c r="F29" s="138">
        <v>1</v>
      </c>
      <c r="G29" s="138">
        <v>1</v>
      </c>
      <c r="H29" s="143"/>
      <c r="I29" s="138">
        <v>1</v>
      </c>
      <c r="J29" s="138">
        <v>1</v>
      </c>
      <c r="K29" s="138">
        <v>1</v>
      </c>
      <c r="L29" s="138">
        <v>1</v>
      </c>
      <c r="M29" s="138">
        <v>1</v>
      </c>
      <c r="N29" s="138">
        <v>0</v>
      </c>
      <c r="O29" s="143"/>
      <c r="P29" s="138">
        <v>1</v>
      </c>
      <c r="Q29" s="138">
        <v>1</v>
      </c>
      <c r="R29" s="138">
        <v>1</v>
      </c>
      <c r="S29" s="138">
        <v>1</v>
      </c>
      <c r="T29" s="138">
        <v>1</v>
      </c>
      <c r="U29" s="138">
        <v>1</v>
      </c>
      <c r="V29" s="143"/>
      <c r="W29" s="138">
        <v>1</v>
      </c>
      <c r="X29" s="138">
        <v>1</v>
      </c>
      <c r="Y29" s="138">
        <v>1</v>
      </c>
      <c r="Z29" s="138">
        <v>1</v>
      </c>
      <c r="AA29" s="138">
        <v>1</v>
      </c>
      <c r="AB29" s="138">
        <v>1</v>
      </c>
      <c r="AC29" s="143"/>
      <c r="AD29" s="141">
        <v>1</v>
      </c>
      <c r="AE29" s="138">
        <v>1</v>
      </c>
      <c r="AF29" s="138">
        <v>1</v>
      </c>
      <c r="AG29" s="138">
        <v>1</v>
      </c>
      <c r="AH29" s="138">
        <v>1</v>
      </c>
      <c r="AI29" s="138">
        <v>1</v>
      </c>
      <c r="AJ29" s="112">
        <f t="shared" si="3"/>
        <v>26</v>
      </c>
      <c r="AK29" s="112">
        <f t="shared" si="1"/>
        <v>0</v>
      </c>
      <c r="AL29" s="112">
        <f t="shared" si="4"/>
        <v>0</v>
      </c>
      <c r="AM29" s="112">
        <f t="shared" si="5"/>
        <v>0</v>
      </c>
      <c r="AN29" s="153"/>
      <c r="AO29" s="153"/>
      <c r="AP29" s="153"/>
      <c r="AQ29" s="139"/>
      <c r="AR29" s="153"/>
      <c r="AS29" s="153"/>
      <c r="AT29" s="153"/>
      <c r="AU29" s="153"/>
      <c r="AV29" s="153"/>
      <c r="AW29" s="153"/>
      <c r="AX29" s="139">
        <v>8</v>
      </c>
      <c r="AY29" s="155"/>
      <c r="AZ29" s="155"/>
      <c r="BA29" s="155"/>
      <c r="BB29" s="155"/>
      <c r="BC29" s="155"/>
      <c r="BD29" s="155"/>
      <c r="BE29" s="139"/>
      <c r="BF29" s="155"/>
      <c r="BG29" s="155"/>
      <c r="BH29" s="155"/>
      <c r="BI29" s="155"/>
      <c r="BJ29" s="155"/>
      <c r="BK29" s="155"/>
      <c r="BL29" s="139"/>
      <c r="BM29" s="155"/>
      <c r="BN29" s="155"/>
      <c r="BO29" s="155"/>
      <c r="BP29" s="155"/>
      <c r="BQ29" s="155"/>
      <c r="BR29" s="155"/>
      <c r="BS29" s="112">
        <f t="shared" si="0"/>
        <v>0</v>
      </c>
      <c r="BT29" s="112">
        <f t="shared" si="2"/>
        <v>8</v>
      </c>
    </row>
    <row r="30" spans="1:72" ht="15">
      <c r="A30" s="3">
        <v>64</v>
      </c>
      <c r="B30" s="3" t="str">
        <f>'Bang luong'!B30</f>
        <v>NV66</v>
      </c>
      <c r="C30" s="3" t="str">
        <f>VLOOKUP(B30,'Bang luong'!$B$5:$C$58,2,0)</f>
        <v>Nguyễn Văn Chạy</v>
      </c>
      <c r="D30" s="3" t="str">
        <f>VLOOKUP(B30,'Bang luong'!$B$5:$D$99,3,0)</f>
        <v>Lái xe cơ giới</v>
      </c>
      <c r="E30" s="138">
        <v>1</v>
      </c>
      <c r="F30" s="138">
        <v>1</v>
      </c>
      <c r="G30" s="138">
        <v>1</v>
      </c>
      <c r="H30" s="143"/>
      <c r="I30" s="138">
        <v>1</v>
      </c>
      <c r="J30" s="138">
        <v>1</v>
      </c>
      <c r="K30" s="138">
        <v>1</v>
      </c>
      <c r="L30" s="138">
        <v>1</v>
      </c>
      <c r="M30" s="138">
        <v>1</v>
      </c>
      <c r="N30" s="138">
        <v>1</v>
      </c>
      <c r="O30" s="143"/>
      <c r="P30" s="138">
        <v>1</v>
      </c>
      <c r="Q30" s="138">
        <v>1</v>
      </c>
      <c r="R30" s="138">
        <v>1</v>
      </c>
      <c r="S30" s="138">
        <v>1</v>
      </c>
      <c r="T30" s="138">
        <v>1</v>
      </c>
      <c r="U30" s="138">
        <v>1</v>
      </c>
      <c r="V30" s="143"/>
      <c r="W30" s="138">
        <v>1</v>
      </c>
      <c r="X30" s="138">
        <v>1</v>
      </c>
      <c r="Y30" s="138">
        <v>1</v>
      </c>
      <c r="Z30" s="138">
        <v>1</v>
      </c>
      <c r="AA30" s="138">
        <v>1</v>
      </c>
      <c r="AB30" s="138">
        <v>1</v>
      </c>
      <c r="AC30" s="143"/>
      <c r="AD30" s="141">
        <v>1</v>
      </c>
      <c r="AE30" s="138">
        <v>1</v>
      </c>
      <c r="AF30" s="138">
        <v>1</v>
      </c>
      <c r="AG30" s="138">
        <v>1</v>
      </c>
      <c r="AH30" s="138">
        <v>1</v>
      </c>
      <c r="AI30" s="138">
        <v>1</v>
      </c>
      <c r="AJ30" s="112">
        <f t="shared" si="3"/>
        <v>27</v>
      </c>
      <c r="AK30" s="112">
        <f t="shared" si="1"/>
        <v>0</v>
      </c>
      <c r="AL30" s="112">
        <f t="shared" si="4"/>
        <v>0</v>
      </c>
      <c r="AM30" s="112">
        <f t="shared" si="5"/>
        <v>0</v>
      </c>
      <c r="AN30" s="153">
        <v>1</v>
      </c>
      <c r="AO30" s="153"/>
      <c r="AP30" s="153"/>
      <c r="AQ30" s="139">
        <v>8</v>
      </c>
      <c r="AR30" s="153">
        <v>1</v>
      </c>
      <c r="AS30" s="153">
        <v>1</v>
      </c>
      <c r="AT30" s="153"/>
      <c r="AU30" s="153">
        <v>1</v>
      </c>
      <c r="AV30" s="153">
        <v>1</v>
      </c>
      <c r="AW30" s="153"/>
      <c r="AX30" s="139">
        <v>8</v>
      </c>
      <c r="AY30" s="153">
        <v>1</v>
      </c>
      <c r="AZ30" s="153">
        <v>1</v>
      </c>
      <c r="BA30" s="153">
        <v>1</v>
      </c>
      <c r="BB30" s="153">
        <v>1</v>
      </c>
      <c r="BC30" s="153">
        <v>1</v>
      </c>
      <c r="BD30" s="153"/>
      <c r="BE30" s="139"/>
      <c r="BF30" s="153"/>
      <c r="BG30" s="153"/>
      <c r="BH30" s="153"/>
      <c r="BI30" s="153">
        <v>1</v>
      </c>
      <c r="BJ30" s="153">
        <v>1</v>
      </c>
      <c r="BK30" s="153"/>
      <c r="BL30" s="139">
        <v>8</v>
      </c>
      <c r="BM30" s="153"/>
      <c r="BN30" s="153"/>
      <c r="BO30" s="153"/>
      <c r="BP30" s="153"/>
      <c r="BQ30" s="153"/>
      <c r="BR30" s="153"/>
      <c r="BS30" s="112">
        <f t="shared" si="0"/>
        <v>12</v>
      </c>
      <c r="BT30" s="112">
        <f t="shared" si="2"/>
        <v>24</v>
      </c>
    </row>
    <row r="31" spans="1:72" ht="15">
      <c r="A31" s="3">
        <v>65</v>
      </c>
      <c r="B31" s="3" t="str">
        <f>'Bang luong'!B31</f>
        <v>NV67</v>
      </c>
      <c r="C31" s="3" t="str">
        <f>VLOOKUP(B31,'Bang luong'!$B$5:$C$58,2,0)</f>
        <v>Hà Hoàng Hùng</v>
      </c>
      <c r="D31" s="3" t="str">
        <f>VLOOKUP(B31,'Bang luong'!$B$5:$D$99,3,0)</f>
        <v>Lái xe cơ giới</v>
      </c>
      <c r="E31" s="138">
        <v>0.5</v>
      </c>
      <c r="F31" s="138">
        <v>1</v>
      </c>
      <c r="G31" s="138">
        <v>1</v>
      </c>
      <c r="H31" s="143"/>
      <c r="I31" s="138">
        <v>1</v>
      </c>
      <c r="J31" s="138">
        <v>1</v>
      </c>
      <c r="K31" s="138">
        <v>1</v>
      </c>
      <c r="L31" s="138">
        <v>1</v>
      </c>
      <c r="M31" s="138">
        <v>1</v>
      </c>
      <c r="N31" s="138">
        <v>1</v>
      </c>
      <c r="O31" s="143"/>
      <c r="P31" s="138">
        <v>1</v>
      </c>
      <c r="Q31" s="138">
        <v>1</v>
      </c>
      <c r="R31" s="138">
        <v>1</v>
      </c>
      <c r="S31" s="138">
        <v>1</v>
      </c>
      <c r="T31" s="138">
        <v>0.5</v>
      </c>
      <c r="U31" s="138">
        <v>1</v>
      </c>
      <c r="V31" s="143"/>
      <c r="W31" s="138">
        <v>1</v>
      </c>
      <c r="X31" s="138">
        <v>1</v>
      </c>
      <c r="Y31" s="138">
        <v>1</v>
      </c>
      <c r="Z31" s="138">
        <v>1</v>
      </c>
      <c r="AA31" s="138">
        <v>1</v>
      </c>
      <c r="AB31" s="138">
        <v>0</v>
      </c>
      <c r="AC31" s="143"/>
      <c r="AD31" s="141">
        <v>1</v>
      </c>
      <c r="AE31" s="138">
        <v>1</v>
      </c>
      <c r="AF31" s="138">
        <v>1</v>
      </c>
      <c r="AG31" s="138">
        <v>1</v>
      </c>
      <c r="AH31" s="138">
        <v>1</v>
      </c>
      <c r="AI31" s="138">
        <v>1</v>
      </c>
      <c r="AJ31" s="112">
        <f t="shared" si="3"/>
        <v>25</v>
      </c>
      <c r="AK31" s="112">
        <f t="shared" si="1"/>
        <v>0</v>
      </c>
      <c r="AL31" s="112">
        <f t="shared" si="4"/>
        <v>0</v>
      </c>
      <c r="AM31" s="112">
        <f t="shared" si="5"/>
        <v>0</v>
      </c>
      <c r="AN31" s="153"/>
      <c r="AO31" s="153"/>
      <c r="AP31" s="153"/>
      <c r="AQ31" s="139">
        <v>8</v>
      </c>
      <c r="AR31" s="153">
        <v>1</v>
      </c>
      <c r="AS31" s="153">
        <v>1</v>
      </c>
      <c r="AT31" s="153"/>
      <c r="AU31" s="153">
        <v>1</v>
      </c>
      <c r="AV31" s="153">
        <v>1</v>
      </c>
      <c r="AW31" s="153"/>
      <c r="AX31" s="139">
        <v>8</v>
      </c>
      <c r="AY31" s="153">
        <v>1</v>
      </c>
      <c r="AZ31" s="153">
        <v>1</v>
      </c>
      <c r="BA31" s="153">
        <v>1</v>
      </c>
      <c r="BB31" s="153">
        <v>1</v>
      </c>
      <c r="BC31" s="153"/>
      <c r="BD31" s="153"/>
      <c r="BE31" s="139"/>
      <c r="BF31" s="153"/>
      <c r="BG31" s="153"/>
      <c r="BH31" s="153"/>
      <c r="BI31" s="153">
        <v>1</v>
      </c>
      <c r="BJ31" s="153"/>
      <c r="BK31" s="153"/>
      <c r="BL31" s="139">
        <v>8</v>
      </c>
      <c r="BM31" s="153"/>
      <c r="BN31" s="153"/>
      <c r="BO31" s="153"/>
      <c r="BP31" s="153"/>
      <c r="BQ31" s="153"/>
      <c r="BR31" s="153"/>
      <c r="BS31" s="112">
        <f t="shared" si="0"/>
        <v>9</v>
      </c>
      <c r="BT31" s="112">
        <f t="shared" si="2"/>
        <v>24</v>
      </c>
    </row>
    <row r="32" spans="1:72" ht="15">
      <c r="A32" s="3">
        <v>66</v>
      </c>
      <c r="B32" s="3" t="str">
        <f>'Bang luong'!B32</f>
        <v>NV68</v>
      </c>
      <c r="C32" s="3" t="str">
        <f>VLOOKUP(B32,'Bang luong'!$B$5:$C$58,2,0)</f>
        <v>Nguyễn Thanh Nhàn</v>
      </c>
      <c r="D32" s="3" t="str">
        <f>VLOOKUP(B32,'Bang luong'!$B$5:$D$99,3,0)</f>
        <v>Lái xe cơ giới</v>
      </c>
      <c r="E32" s="138">
        <v>1</v>
      </c>
      <c r="F32" s="138">
        <v>0</v>
      </c>
      <c r="G32" s="138">
        <v>1</v>
      </c>
      <c r="H32" s="143"/>
      <c r="I32" s="138">
        <v>1</v>
      </c>
      <c r="J32" s="138">
        <v>1</v>
      </c>
      <c r="K32" s="138">
        <v>1</v>
      </c>
      <c r="L32" s="138">
        <v>1</v>
      </c>
      <c r="M32" s="138">
        <v>1</v>
      </c>
      <c r="N32" s="138">
        <v>1</v>
      </c>
      <c r="O32" s="143"/>
      <c r="P32" s="138">
        <v>1</v>
      </c>
      <c r="Q32" s="138">
        <v>1</v>
      </c>
      <c r="R32" s="138">
        <v>1</v>
      </c>
      <c r="S32" s="138">
        <v>1</v>
      </c>
      <c r="T32" s="138">
        <v>1</v>
      </c>
      <c r="U32" s="138">
        <v>1</v>
      </c>
      <c r="V32" s="143"/>
      <c r="W32" s="138">
        <v>0.5</v>
      </c>
      <c r="X32" s="138">
        <v>1</v>
      </c>
      <c r="Y32" s="138">
        <v>1</v>
      </c>
      <c r="Z32" s="138">
        <v>0</v>
      </c>
      <c r="AA32" s="138">
        <v>1</v>
      </c>
      <c r="AB32" s="138">
        <v>1</v>
      </c>
      <c r="AC32" s="143"/>
      <c r="AD32" s="141">
        <v>1</v>
      </c>
      <c r="AE32" s="138">
        <v>1</v>
      </c>
      <c r="AF32" s="138">
        <v>1</v>
      </c>
      <c r="AG32" s="138">
        <v>1</v>
      </c>
      <c r="AH32" s="138">
        <v>1</v>
      </c>
      <c r="AI32" s="138">
        <v>1</v>
      </c>
      <c r="AJ32" s="112">
        <f t="shared" si="3"/>
        <v>24.5</v>
      </c>
      <c r="AK32" s="112">
        <f t="shared" si="1"/>
        <v>0</v>
      </c>
      <c r="AL32" s="112">
        <f t="shared" si="4"/>
        <v>0</v>
      </c>
      <c r="AM32" s="112">
        <f t="shared" si="5"/>
        <v>0</v>
      </c>
      <c r="AN32" s="153">
        <v>1</v>
      </c>
      <c r="AO32" s="153"/>
      <c r="AP32" s="153"/>
      <c r="AQ32" s="139"/>
      <c r="AR32" s="153">
        <v>1</v>
      </c>
      <c r="AS32" s="153">
        <v>1</v>
      </c>
      <c r="AT32" s="153"/>
      <c r="AU32" s="153">
        <v>1</v>
      </c>
      <c r="AV32" s="153"/>
      <c r="AW32" s="153"/>
      <c r="AX32" s="139">
        <v>8</v>
      </c>
      <c r="AY32" s="153"/>
      <c r="AZ32" s="153">
        <v>1</v>
      </c>
      <c r="BA32" s="153"/>
      <c r="BB32" s="153">
        <v>1</v>
      </c>
      <c r="BC32" s="153"/>
      <c r="BD32" s="153"/>
      <c r="BE32" s="139">
        <v>8</v>
      </c>
      <c r="BF32" s="153"/>
      <c r="BG32" s="153"/>
      <c r="BH32" s="153"/>
      <c r="BI32" s="153"/>
      <c r="BJ32" s="153"/>
      <c r="BK32" s="153"/>
      <c r="BL32" s="139"/>
      <c r="BM32" s="153"/>
      <c r="BN32" s="153"/>
      <c r="BO32" s="153"/>
      <c r="BP32" s="153"/>
      <c r="BQ32" s="153"/>
      <c r="BR32" s="153"/>
      <c r="BS32" s="112">
        <f t="shared" si="0"/>
        <v>6</v>
      </c>
      <c r="BT32" s="112">
        <f t="shared" si="2"/>
        <v>16</v>
      </c>
    </row>
    <row r="33" spans="1:72">
      <c r="A33" s="23"/>
      <c r="B33" s="23"/>
      <c r="C33" s="23"/>
      <c r="D33" s="23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13"/>
      <c r="AK33" s="113"/>
      <c r="AL33" s="113"/>
      <c r="AM33" s="113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  <c r="BR33" s="149"/>
      <c r="BS33" s="112">
        <f t="shared" si="0"/>
        <v>0</v>
      </c>
      <c r="BT33" s="112">
        <f t="shared" si="2"/>
        <v>0</v>
      </c>
    </row>
    <row r="34" spans="1:72" ht="15">
      <c r="A34" s="3">
        <v>67</v>
      </c>
      <c r="B34" s="3" t="str">
        <f>'Bang luong'!B34</f>
        <v>NV69</v>
      </c>
      <c r="C34" s="3" t="str">
        <f>VLOOKUP(B34,'Bang luong'!$B$5:$C$58,2,0)</f>
        <v>Lâm Ban</v>
      </c>
      <c r="D34" s="3" t="str">
        <f>VLOOKUP(B34,'Bang luong'!$B$5:$D$99,3,0)</f>
        <v xml:space="preserve">Công nhân </v>
      </c>
      <c r="E34" s="138">
        <v>1</v>
      </c>
      <c r="F34" s="138">
        <v>1</v>
      </c>
      <c r="G34" s="138">
        <v>1</v>
      </c>
      <c r="H34" s="143"/>
      <c r="I34" s="138">
        <v>1</v>
      </c>
      <c r="J34" s="138">
        <v>1</v>
      </c>
      <c r="K34" s="138">
        <v>1</v>
      </c>
      <c r="L34" s="138">
        <v>0.5</v>
      </c>
      <c r="M34" s="138">
        <v>1</v>
      </c>
      <c r="N34" s="138">
        <v>1</v>
      </c>
      <c r="O34" s="143"/>
      <c r="P34" s="138">
        <v>1</v>
      </c>
      <c r="Q34" s="138">
        <v>0</v>
      </c>
      <c r="R34" s="138">
        <v>1</v>
      </c>
      <c r="S34" s="138">
        <v>1</v>
      </c>
      <c r="T34" s="138">
        <v>1</v>
      </c>
      <c r="U34" s="138">
        <v>1</v>
      </c>
      <c r="V34" s="143"/>
      <c r="W34" s="138">
        <v>1</v>
      </c>
      <c r="X34" s="138">
        <v>1</v>
      </c>
      <c r="Y34" s="138">
        <v>1</v>
      </c>
      <c r="Z34" s="138">
        <v>1</v>
      </c>
      <c r="AA34" s="138">
        <v>1</v>
      </c>
      <c r="AB34" s="138">
        <v>1</v>
      </c>
      <c r="AC34" s="143"/>
      <c r="AD34" s="141">
        <v>1</v>
      </c>
      <c r="AE34" s="138">
        <v>1</v>
      </c>
      <c r="AF34" s="138">
        <v>1</v>
      </c>
      <c r="AG34" s="138">
        <v>1</v>
      </c>
      <c r="AH34" s="138">
        <v>1</v>
      </c>
      <c r="AI34" s="138">
        <v>0</v>
      </c>
      <c r="AJ34" s="112">
        <f t="shared" ref="AJ34:AJ55" si="6">SUM(E34:AI34)-AK34</f>
        <v>24.5</v>
      </c>
      <c r="AK34" s="112">
        <f t="shared" si="1"/>
        <v>0</v>
      </c>
      <c r="AL34" s="112">
        <f t="shared" ref="AL34:AL55" si="7">COUNTIF(E34:AI34,"P")</f>
        <v>0</v>
      </c>
      <c r="AM34" s="112">
        <f t="shared" ref="AM34:AM55" si="8">COUNTIF(E34:AI34,"LT")</f>
        <v>0</v>
      </c>
      <c r="AN34" s="153">
        <v>1</v>
      </c>
      <c r="AO34" s="153"/>
      <c r="AP34" s="153"/>
      <c r="AQ34" s="139">
        <v>4</v>
      </c>
      <c r="AR34" s="153">
        <v>1</v>
      </c>
      <c r="AS34" s="153">
        <v>1</v>
      </c>
      <c r="AT34" s="153"/>
      <c r="AU34" s="153"/>
      <c r="AV34" s="153">
        <v>1</v>
      </c>
      <c r="AW34" s="153"/>
      <c r="AX34" s="139"/>
      <c r="AY34" s="153">
        <v>1</v>
      </c>
      <c r="AZ34" s="153"/>
      <c r="BA34" s="153">
        <v>1</v>
      </c>
      <c r="BB34" s="153">
        <v>1</v>
      </c>
      <c r="BC34" s="153">
        <v>1</v>
      </c>
      <c r="BD34" s="153"/>
      <c r="BE34" s="139"/>
      <c r="BF34" s="153">
        <v>1</v>
      </c>
      <c r="BG34" s="153"/>
      <c r="BH34" s="153"/>
      <c r="BI34" s="153"/>
      <c r="BJ34" s="153">
        <v>1</v>
      </c>
      <c r="BK34" s="153"/>
      <c r="BL34" s="139"/>
      <c r="BM34" s="153"/>
      <c r="BN34" s="153"/>
      <c r="BO34" s="153"/>
      <c r="BP34" s="153"/>
      <c r="BQ34" s="153"/>
      <c r="BR34" s="153"/>
      <c r="BS34" s="112">
        <f t="shared" si="0"/>
        <v>10</v>
      </c>
      <c r="BT34" s="112">
        <f t="shared" si="2"/>
        <v>4</v>
      </c>
    </row>
    <row r="35" spans="1:72" ht="15">
      <c r="A35" s="3">
        <v>68</v>
      </c>
      <c r="B35" s="3" t="str">
        <f>'Bang luong'!B35</f>
        <v>NV70</v>
      </c>
      <c r="C35" s="3" t="str">
        <f>VLOOKUP(B35,'Bang luong'!$B$5:$C$58,2,0)</f>
        <v>Ngô Văn Thanh</v>
      </c>
      <c r="D35" s="3" t="str">
        <f>VLOOKUP(B35,'Bang luong'!$B$5:$D$99,3,0)</f>
        <v xml:space="preserve">Công nhân </v>
      </c>
      <c r="E35" s="138">
        <v>1</v>
      </c>
      <c r="F35" s="138">
        <v>1</v>
      </c>
      <c r="G35" s="138">
        <v>1</v>
      </c>
      <c r="H35" s="143"/>
      <c r="I35" s="138">
        <v>1</v>
      </c>
      <c r="J35" s="138">
        <v>1</v>
      </c>
      <c r="K35" s="138">
        <v>1</v>
      </c>
      <c r="L35" s="138">
        <v>1</v>
      </c>
      <c r="M35" s="138">
        <v>1</v>
      </c>
      <c r="N35" s="138">
        <v>1</v>
      </c>
      <c r="O35" s="143"/>
      <c r="P35" s="138">
        <v>0.5</v>
      </c>
      <c r="Q35" s="138">
        <v>1</v>
      </c>
      <c r="R35" s="138">
        <v>1</v>
      </c>
      <c r="S35" s="138">
        <v>1</v>
      </c>
      <c r="T35" s="138">
        <v>1</v>
      </c>
      <c r="U35" s="138">
        <v>1</v>
      </c>
      <c r="V35" s="143"/>
      <c r="W35" s="138">
        <v>0</v>
      </c>
      <c r="X35" s="138">
        <v>1</v>
      </c>
      <c r="Y35" s="138">
        <v>1</v>
      </c>
      <c r="Z35" s="138">
        <v>1</v>
      </c>
      <c r="AA35" s="138">
        <v>1</v>
      </c>
      <c r="AB35" s="138">
        <v>1</v>
      </c>
      <c r="AC35" s="143"/>
      <c r="AD35" s="141">
        <v>1</v>
      </c>
      <c r="AE35" s="138">
        <v>1</v>
      </c>
      <c r="AF35" s="138">
        <v>1</v>
      </c>
      <c r="AG35" s="138">
        <v>1</v>
      </c>
      <c r="AH35" s="138">
        <v>1</v>
      </c>
      <c r="AI35" s="138">
        <v>1</v>
      </c>
      <c r="AJ35" s="112">
        <f t="shared" si="6"/>
        <v>25.5</v>
      </c>
      <c r="AK35" s="112">
        <f t="shared" si="1"/>
        <v>0</v>
      </c>
      <c r="AL35" s="112">
        <f t="shared" si="7"/>
        <v>0</v>
      </c>
      <c r="AM35" s="112">
        <f t="shared" si="8"/>
        <v>0</v>
      </c>
      <c r="AN35" s="153">
        <v>1</v>
      </c>
      <c r="AO35" s="153"/>
      <c r="AP35" s="153"/>
      <c r="AQ35" s="139">
        <v>8</v>
      </c>
      <c r="AR35" s="153">
        <v>1</v>
      </c>
      <c r="AS35" s="153"/>
      <c r="AT35" s="153"/>
      <c r="AU35" s="153">
        <v>1</v>
      </c>
      <c r="AV35" s="153">
        <v>1</v>
      </c>
      <c r="AW35" s="153"/>
      <c r="AX35" s="139"/>
      <c r="AY35" s="153"/>
      <c r="AZ35" s="153">
        <v>1</v>
      </c>
      <c r="BA35" s="153">
        <v>1</v>
      </c>
      <c r="BB35" s="153">
        <v>1</v>
      </c>
      <c r="BC35" s="153">
        <v>1</v>
      </c>
      <c r="BD35" s="153"/>
      <c r="BE35" s="139"/>
      <c r="BF35" s="153"/>
      <c r="BG35" s="153"/>
      <c r="BH35" s="153"/>
      <c r="BI35" s="153">
        <v>1</v>
      </c>
      <c r="BJ35" s="153">
        <v>1</v>
      </c>
      <c r="BK35" s="153"/>
      <c r="BL35" s="139">
        <v>8</v>
      </c>
      <c r="BM35" s="153"/>
      <c r="BN35" s="153"/>
      <c r="BO35" s="153"/>
      <c r="BP35" s="153"/>
      <c r="BQ35" s="153"/>
      <c r="BR35" s="153"/>
      <c r="BS35" s="112">
        <f t="shared" si="0"/>
        <v>10</v>
      </c>
      <c r="BT35" s="112">
        <f t="shared" si="2"/>
        <v>16</v>
      </c>
    </row>
    <row r="36" spans="1:72" ht="15">
      <c r="A36" s="3">
        <v>69</v>
      </c>
      <c r="B36" s="3" t="str">
        <f>'Bang luong'!B36</f>
        <v>NV71</v>
      </c>
      <c r="C36" s="3" t="str">
        <f>VLOOKUP(B36,'Bang luong'!$B$5:$C$58,2,0)</f>
        <v>Triệu Quốc Minh</v>
      </c>
      <c r="D36" s="3" t="str">
        <f>VLOOKUP(B36,'Bang luong'!$B$5:$D$99,3,0)</f>
        <v xml:space="preserve">Công nhân </v>
      </c>
      <c r="E36" s="138">
        <v>1</v>
      </c>
      <c r="F36" s="138">
        <v>1</v>
      </c>
      <c r="G36" s="138">
        <v>1</v>
      </c>
      <c r="H36" s="143"/>
      <c r="I36" s="138">
        <v>1</v>
      </c>
      <c r="J36" s="138">
        <v>1</v>
      </c>
      <c r="K36" s="138">
        <v>1</v>
      </c>
      <c r="L36" s="138">
        <v>1</v>
      </c>
      <c r="M36" s="138">
        <v>0</v>
      </c>
      <c r="N36" s="138">
        <v>1</v>
      </c>
      <c r="O36" s="143"/>
      <c r="P36" s="138">
        <v>1</v>
      </c>
      <c r="Q36" s="138">
        <v>1</v>
      </c>
      <c r="R36" s="138">
        <v>1</v>
      </c>
      <c r="S36" s="138">
        <v>1</v>
      </c>
      <c r="T36" s="138">
        <v>0</v>
      </c>
      <c r="U36" s="138">
        <v>1</v>
      </c>
      <c r="V36" s="143"/>
      <c r="W36" s="138">
        <v>1</v>
      </c>
      <c r="X36" s="138">
        <v>1</v>
      </c>
      <c r="Y36" s="138">
        <v>1</v>
      </c>
      <c r="Z36" s="138">
        <v>0</v>
      </c>
      <c r="AA36" s="138">
        <v>0</v>
      </c>
      <c r="AB36" s="138">
        <v>1</v>
      </c>
      <c r="AC36" s="143"/>
      <c r="AD36" s="141">
        <v>1</v>
      </c>
      <c r="AE36" s="138">
        <v>0</v>
      </c>
      <c r="AF36" s="138">
        <v>1</v>
      </c>
      <c r="AG36" s="138">
        <v>1</v>
      </c>
      <c r="AH36" s="138">
        <v>0</v>
      </c>
      <c r="AI36" s="138">
        <v>1</v>
      </c>
      <c r="AJ36" s="112">
        <f t="shared" si="6"/>
        <v>21</v>
      </c>
      <c r="AK36" s="112">
        <f t="shared" si="1"/>
        <v>0</v>
      </c>
      <c r="AL36" s="112">
        <f t="shared" si="7"/>
        <v>0</v>
      </c>
      <c r="AM36" s="112">
        <f t="shared" si="8"/>
        <v>0</v>
      </c>
      <c r="AN36" s="153">
        <v>1</v>
      </c>
      <c r="AO36" s="153"/>
      <c r="AP36" s="153"/>
      <c r="AQ36" s="139">
        <v>8</v>
      </c>
      <c r="AR36" s="153">
        <v>1</v>
      </c>
      <c r="AS36" s="153">
        <v>1</v>
      </c>
      <c r="AT36" s="153"/>
      <c r="AU36" s="153">
        <v>1</v>
      </c>
      <c r="AV36" s="153"/>
      <c r="AW36" s="153"/>
      <c r="AX36" s="139">
        <v>8</v>
      </c>
      <c r="AY36" s="153">
        <v>1</v>
      </c>
      <c r="AZ36" s="153">
        <v>1</v>
      </c>
      <c r="BA36" s="153"/>
      <c r="BB36" s="153">
        <v>1</v>
      </c>
      <c r="BC36" s="153"/>
      <c r="BD36" s="153">
        <v>1</v>
      </c>
      <c r="BE36" s="139"/>
      <c r="BF36" s="153">
        <v>1</v>
      </c>
      <c r="BG36" s="153"/>
      <c r="BH36" s="153"/>
      <c r="BI36" s="153"/>
      <c r="BJ36" s="153"/>
      <c r="BK36" s="153"/>
      <c r="BL36" s="139">
        <v>8</v>
      </c>
      <c r="BM36" s="153"/>
      <c r="BN36" s="153"/>
      <c r="BO36" s="153"/>
      <c r="BP36" s="153"/>
      <c r="BQ36" s="153">
        <v>1</v>
      </c>
      <c r="BR36" s="153"/>
      <c r="BS36" s="112">
        <f t="shared" si="0"/>
        <v>10</v>
      </c>
      <c r="BT36" s="112">
        <f t="shared" si="2"/>
        <v>24</v>
      </c>
    </row>
    <row r="37" spans="1:72" ht="15">
      <c r="A37" s="3">
        <v>70</v>
      </c>
      <c r="B37" s="3" t="str">
        <f>'Bang luong'!B37</f>
        <v>NV72</v>
      </c>
      <c r="C37" s="3" t="str">
        <f>VLOOKUP(B37,'Bang luong'!$B$5:$C$58,2,0)</f>
        <v>Triệu Minh Tuấn</v>
      </c>
      <c r="D37" s="3" t="str">
        <f>VLOOKUP(B37,'Bang luong'!$B$5:$D$99,3,0)</f>
        <v xml:space="preserve">Công nhân </v>
      </c>
      <c r="E37" s="138">
        <v>1</v>
      </c>
      <c r="F37" s="138">
        <v>1</v>
      </c>
      <c r="G37" s="138">
        <v>1</v>
      </c>
      <c r="H37" s="143"/>
      <c r="I37" s="138">
        <v>1</v>
      </c>
      <c r="J37" s="138">
        <v>1</v>
      </c>
      <c r="K37" s="138">
        <v>1</v>
      </c>
      <c r="L37" s="138">
        <v>1</v>
      </c>
      <c r="M37" s="138">
        <v>1</v>
      </c>
      <c r="N37" s="138">
        <v>1</v>
      </c>
      <c r="O37" s="143"/>
      <c r="P37" s="138">
        <v>1</v>
      </c>
      <c r="Q37" s="138">
        <v>1</v>
      </c>
      <c r="R37" s="138">
        <v>1</v>
      </c>
      <c r="S37" s="138">
        <v>1</v>
      </c>
      <c r="T37" s="138">
        <v>1</v>
      </c>
      <c r="U37" s="138">
        <v>1</v>
      </c>
      <c r="V37" s="143"/>
      <c r="W37" s="138">
        <v>0</v>
      </c>
      <c r="X37" s="138">
        <v>1</v>
      </c>
      <c r="Y37" s="138">
        <v>1</v>
      </c>
      <c r="Z37" s="138">
        <v>1</v>
      </c>
      <c r="AA37" s="138">
        <v>1</v>
      </c>
      <c r="AB37" s="138">
        <v>1</v>
      </c>
      <c r="AC37" s="143"/>
      <c r="AD37" s="138">
        <v>1</v>
      </c>
      <c r="AE37" s="138">
        <v>1</v>
      </c>
      <c r="AF37" s="138">
        <v>1</v>
      </c>
      <c r="AG37" s="138">
        <v>1</v>
      </c>
      <c r="AH37" s="138">
        <v>1</v>
      </c>
      <c r="AI37" s="138">
        <v>1</v>
      </c>
      <c r="AJ37" s="112">
        <f t="shared" si="6"/>
        <v>26</v>
      </c>
      <c r="AK37" s="112">
        <f t="shared" si="1"/>
        <v>0</v>
      </c>
      <c r="AL37" s="112">
        <f t="shared" si="7"/>
        <v>0</v>
      </c>
      <c r="AM37" s="112">
        <f t="shared" si="8"/>
        <v>0</v>
      </c>
      <c r="AN37" s="153">
        <v>1</v>
      </c>
      <c r="AO37" s="153"/>
      <c r="AP37" s="153"/>
      <c r="AQ37" s="139">
        <v>8</v>
      </c>
      <c r="AR37" s="153"/>
      <c r="AS37" s="153"/>
      <c r="AT37" s="153"/>
      <c r="AU37" s="153">
        <v>1</v>
      </c>
      <c r="AV37" s="153">
        <v>1</v>
      </c>
      <c r="AW37" s="153"/>
      <c r="AX37" s="139"/>
      <c r="AY37" s="153"/>
      <c r="AZ37" s="153">
        <v>1</v>
      </c>
      <c r="BA37" s="153">
        <v>1</v>
      </c>
      <c r="BB37" s="153">
        <v>1</v>
      </c>
      <c r="BC37" s="153"/>
      <c r="BD37" s="153"/>
      <c r="BE37" s="139">
        <v>8</v>
      </c>
      <c r="BF37" s="153"/>
      <c r="BG37" s="153"/>
      <c r="BH37" s="153"/>
      <c r="BI37" s="153"/>
      <c r="BJ37" s="153"/>
      <c r="BK37" s="153"/>
      <c r="BL37" s="139">
        <v>8</v>
      </c>
      <c r="BM37" s="153"/>
      <c r="BN37" s="153"/>
      <c r="BO37" s="153"/>
      <c r="BP37" s="153"/>
      <c r="BQ37" s="153"/>
      <c r="BR37" s="153"/>
      <c r="BS37" s="112">
        <f t="shared" si="0"/>
        <v>6</v>
      </c>
      <c r="BT37" s="112">
        <f t="shared" si="2"/>
        <v>24</v>
      </c>
    </row>
    <row r="38" spans="1:72" ht="15">
      <c r="A38" s="3">
        <v>71</v>
      </c>
      <c r="B38" s="3" t="str">
        <f>'Bang luong'!B38</f>
        <v>NV73</v>
      </c>
      <c r="C38" s="3" t="str">
        <f>VLOOKUP(B38,'Bang luong'!$B$5:$C$58,2,0)</f>
        <v>Nguyễn Văn Phụng</v>
      </c>
      <c r="D38" s="3" t="str">
        <f>VLOOKUP(B38,'Bang luong'!$B$5:$D$99,3,0)</f>
        <v xml:space="preserve">Công nhân </v>
      </c>
      <c r="E38" s="138">
        <v>1</v>
      </c>
      <c r="F38" s="138">
        <v>1</v>
      </c>
      <c r="G38" s="138">
        <v>1</v>
      </c>
      <c r="H38" s="143"/>
      <c r="I38" s="138">
        <v>1</v>
      </c>
      <c r="J38" s="138">
        <v>1</v>
      </c>
      <c r="K38" s="138">
        <v>1</v>
      </c>
      <c r="L38" s="138">
        <v>1</v>
      </c>
      <c r="M38" s="138">
        <v>1</v>
      </c>
      <c r="N38" s="138">
        <v>0.5</v>
      </c>
      <c r="O38" s="143"/>
      <c r="P38" s="138">
        <v>1</v>
      </c>
      <c r="Q38" s="138">
        <v>1</v>
      </c>
      <c r="R38" s="138">
        <v>1</v>
      </c>
      <c r="S38" s="138">
        <v>1</v>
      </c>
      <c r="T38" s="138">
        <v>1</v>
      </c>
      <c r="U38" s="138">
        <v>1</v>
      </c>
      <c r="V38" s="143"/>
      <c r="W38" s="138">
        <v>1</v>
      </c>
      <c r="X38" s="138">
        <v>1</v>
      </c>
      <c r="Y38" s="138">
        <v>1</v>
      </c>
      <c r="Z38" s="138">
        <v>1</v>
      </c>
      <c r="AA38" s="138">
        <v>1</v>
      </c>
      <c r="AB38" s="138">
        <v>1</v>
      </c>
      <c r="AC38" s="143"/>
      <c r="AD38" s="138">
        <v>0.5</v>
      </c>
      <c r="AE38" s="138">
        <v>1</v>
      </c>
      <c r="AF38" s="138">
        <v>1</v>
      </c>
      <c r="AG38" s="138">
        <v>1</v>
      </c>
      <c r="AH38" s="138">
        <v>1</v>
      </c>
      <c r="AI38" s="138">
        <v>1</v>
      </c>
      <c r="AJ38" s="112">
        <f t="shared" si="6"/>
        <v>26</v>
      </c>
      <c r="AK38" s="112">
        <f t="shared" si="1"/>
        <v>0</v>
      </c>
      <c r="AL38" s="112">
        <f t="shared" si="7"/>
        <v>0</v>
      </c>
      <c r="AM38" s="112">
        <f t="shared" si="8"/>
        <v>0</v>
      </c>
      <c r="AN38" s="153">
        <v>1</v>
      </c>
      <c r="AO38" s="153"/>
      <c r="AP38" s="153"/>
      <c r="AQ38" s="139">
        <v>4</v>
      </c>
      <c r="AR38" s="153">
        <v>1</v>
      </c>
      <c r="AS38" s="153">
        <v>1</v>
      </c>
      <c r="AT38" s="153"/>
      <c r="AU38" s="153">
        <v>1</v>
      </c>
      <c r="AV38" s="153">
        <v>1</v>
      </c>
      <c r="AW38" s="153"/>
      <c r="AX38" s="139"/>
      <c r="AY38" s="153">
        <v>1</v>
      </c>
      <c r="AZ38" s="153">
        <v>1</v>
      </c>
      <c r="BA38" s="153">
        <v>1</v>
      </c>
      <c r="BB38" s="153">
        <v>1</v>
      </c>
      <c r="BC38" s="153">
        <v>1</v>
      </c>
      <c r="BD38" s="153"/>
      <c r="BE38" s="139"/>
      <c r="BF38" s="153">
        <v>1</v>
      </c>
      <c r="BG38" s="153"/>
      <c r="BH38" s="153"/>
      <c r="BI38" s="153">
        <v>1</v>
      </c>
      <c r="BJ38" s="153">
        <v>1</v>
      </c>
      <c r="BK38" s="153"/>
      <c r="BL38" s="139">
        <v>8</v>
      </c>
      <c r="BM38" s="153"/>
      <c r="BN38" s="153"/>
      <c r="BO38" s="153"/>
      <c r="BP38" s="153"/>
      <c r="BQ38" s="153"/>
      <c r="BR38" s="153"/>
      <c r="BS38" s="112">
        <f t="shared" si="0"/>
        <v>13</v>
      </c>
      <c r="BT38" s="112">
        <f t="shared" si="2"/>
        <v>12</v>
      </c>
    </row>
    <row r="39" spans="1:72" ht="15">
      <c r="A39" s="3">
        <v>72</v>
      </c>
      <c r="B39" s="3" t="str">
        <f>'Bang luong'!B39</f>
        <v>NV74</v>
      </c>
      <c r="C39" s="3" t="str">
        <f>VLOOKUP(B39,'Bang luong'!$B$5:$C$58,2,0)</f>
        <v xml:space="preserve">Nguyễn Văn Lâm </v>
      </c>
      <c r="D39" s="3" t="str">
        <f>VLOOKUP(B39,'Bang luong'!$B$5:$D$99,3,0)</f>
        <v xml:space="preserve">Công nhân </v>
      </c>
      <c r="E39" s="138">
        <v>1</v>
      </c>
      <c r="F39" s="138">
        <v>1</v>
      </c>
      <c r="G39" s="138">
        <v>1</v>
      </c>
      <c r="H39" s="143"/>
      <c r="I39" s="138">
        <v>1</v>
      </c>
      <c r="J39" s="138">
        <v>1</v>
      </c>
      <c r="K39" s="138">
        <v>1</v>
      </c>
      <c r="L39" s="138">
        <v>1</v>
      </c>
      <c r="M39" s="138">
        <v>1</v>
      </c>
      <c r="N39" s="138">
        <v>0</v>
      </c>
      <c r="O39" s="143"/>
      <c r="P39" s="138">
        <v>1</v>
      </c>
      <c r="Q39" s="138">
        <v>1</v>
      </c>
      <c r="R39" s="138">
        <v>1</v>
      </c>
      <c r="S39" s="138">
        <v>1</v>
      </c>
      <c r="T39" s="138">
        <v>1</v>
      </c>
      <c r="U39" s="138">
        <v>1</v>
      </c>
      <c r="V39" s="143"/>
      <c r="W39" s="138">
        <v>1</v>
      </c>
      <c r="X39" s="138">
        <v>1</v>
      </c>
      <c r="Y39" s="138">
        <v>1</v>
      </c>
      <c r="Z39" s="138">
        <v>1</v>
      </c>
      <c r="AA39" s="138">
        <v>1</v>
      </c>
      <c r="AB39" s="138">
        <v>1</v>
      </c>
      <c r="AC39" s="143"/>
      <c r="AD39" s="141">
        <v>1</v>
      </c>
      <c r="AE39" s="138">
        <v>1</v>
      </c>
      <c r="AF39" s="138">
        <v>1</v>
      </c>
      <c r="AG39" s="138">
        <v>1</v>
      </c>
      <c r="AH39" s="138">
        <v>1</v>
      </c>
      <c r="AI39" s="138">
        <v>0</v>
      </c>
      <c r="AJ39" s="112">
        <f t="shared" si="6"/>
        <v>25</v>
      </c>
      <c r="AK39" s="112">
        <f t="shared" si="1"/>
        <v>0</v>
      </c>
      <c r="AL39" s="112">
        <f t="shared" si="7"/>
        <v>0</v>
      </c>
      <c r="AM39" s="112">
        <f t="shared" si="8"/>
        <v>0</v>
      </c>
      <c r="AN39" s="153"/>
      <c r="AO39" s="153"/>
      <c r="AP39" s="153"/>
      <c r="AQ39" s="139">
        <v>8</v>
      </c>
      <c r="AR39" s="153"/>
      <c r="AS39" s="153"/>
      <c r="AT39" s="153"/>
      <c r="AU39" s="153"/>
      <c r="AV39" s="153"/>
      <c r="AW39" s="153"/>
      <c r="AX39" s="139"/>
      <c r="AY39" s="153"/>
      <c r="AZ39" s="153"/>
      <c r="BA39" s="153"/>
      <c r="BB39" s="153"/>
      <c r="BC39" s="153"/>
      <c r="BD39" s="153"/>
      <c r="BE39" s="139"/>
      <c r="BF39" s="153"/>
      <c r="BG39" s="153"/>
      <c r="BH39" s="153"/>
      <c r="BI39" s="153"/>
      <c r="BJ39" s="153"/>
      <c r="BK39" s="153"/>
      <c r="BL39" s="139">
        <v>8</v>
      </c>
      <c r="BM39" s="153"/>
      <c r="BN39" s="153"/>
      <c r="BO39" s="153"/>
      <c r="BP39" s="153"/>
      <c r="BQ39" s="153"/>
      <c r="BR39" s="153"/>
      <c r="BS39" s="112">
        <f t="shared" si="0"/>
        <v>0</v>
      </c>
      <c r="BT39" s="112">
        <f t="shared" si="2"/>
        <v>16</v>
      </c>
    </row>
    <row r="40" spans="1:72" ht="15">
      <c r="A40" s="3">
        <v>73</v>
      </c>
      <c r="B40" s="3" t="str">
        <f>'Bang luong'!B40</f>
        <v>NV75</v>
      </c>
      <c r="C40" s="3" t="str">
        <f>VLOOKUP(B40,'Bang luong'!$B$5:$C$58,2,0)</f>
        <v xml:space="preserve">Nguyễn Minh Tuấn </v>
      </c>
      <c r="D40" s="3" t="str">
        <f>VLOOKUP(B40,'Bang luong'!$B$5:$D$99,3,0)</f>
        <v xml:space="preserve">Công nhân </v>
      </c>
      <c r="E40" s="138">
        <v>1</v>
      </c>
      <c r="F40" s="138">
        <v>1</v>
      </c>
      <c r="G40" s="138">
        <v>0</v>
      </c>
      <c r="H40" s="143"/>
      <c r="I40" s="138">
        <v>1</v>
      </c>
      <c r="J40" s="138">
        <v>1</v>
      </c>
      <c r="K40" s="138">
        <v>0</v>
      </c>
      <c r="L40" s="138">
        <v>1</v>
      </c>
      <c r="M40" s="138">
        <v>1</v>
      </c>
      <c r="N40" s="138">
        <v>1</v>
      </c>
      <c r="O40" s="143"/>
      <c r="P40" s="138">
        <v>1</v>
      </c>
      <c r="Q40" s="138">
        <v>1</v>
      </c>
      <c r="R40" s="138">
        <v>1</v>
      </c>
      <c r="S40" s="138">
        <v>1</v>
      </c>
      <c r="T40" s="138">
        <v>0</v>
      </c>
      <c r="U40" s="138">
        <v>1</v>
      </c>
      <c r="V40" s="143"/>
      <c r="W40" s="138">
        <v>0.5</v>
      </c>
      <c r="X40" s="138">
        <v>1</v>
      </c>
      <c r="Y40" s="138">
        <v>1</v>
      </c>
      <c r="Z40" s="138">
        <v>1</v>
      </c>
      <c r="AA40" s="138">
        <v>1</v>
      </c>
      <c r="AB40" s="138">
        <v>0.5</v>
      </c>
      <c r="AC40" s="143"/>
      <c r="AD40" s="141">
        <v>1</v>
      </c>
      <c r="AE40" s="138">
        <v>1</v>
      </c>
      <c r="AF40" s="138">
        <v>1</v>
      </c>
      <c r="AG40" s="138">
        <v>0.5</v>
      </c>
      <c r="AH40" s="138">
        <v>1</v>
      </c>
      <c r="AI40" s="138">
        <v>1</v>
      </c>
      <c r="AJ40" s="112">
        <f t="shared" si="6"/>
        <v>22.5</v>
      </c>
      <c r="AK40" s="112">
        <f t="shared" si="1"/>
        <v>0</v>
      </c>
      <c r="AL40" s="112">
        <f t="shared" si="7"/>
        <v>0</v>
      </c>
      <c r="AM40" s="112">
        <f t="shared" si="8"/>
        <v>0</v>
      </c>
      <c r="AN40" s="153">
        <v>1</v>
      </c>
      <c r="AO40" s="153"/>
      <c r="AP40" s="153"/>
      <c r="AQ40" s="139"/>
      <c r="AR40" s="153">
        <v>1</v>
      </c>
      <c r="AS40" s="153"/>
      <c r="AT40" s="153"/>
      <c r="AU40" s="153">
        <v>1</v>
      </c>
      <c r="AV40" s="153">
        <v>1</v>
      </c>
      <c r="AW40" s="153"/>
      <c r="AX40" s="139"/>
      <c r="AY40" s="153">
        <v>1</v>
      </c>
      <c r="AZ40" s="153"/>
      <c r="BA40" s="153">
        <v>1</v>
      </c>
      <c r="BB40" s="153"/>
      <c r="BC40" s="153"/>
      <c r="BD40" s="153"/>
      <c r="BE40" s="139"/>
      <c r="BF40" s="153"/>
      <c r="BG40" s="153"/>
      <c r="BH40" s="153"/>
      <c r="BI40" s="153">
        <v>1</v>
      </c>
      <c r="BJ40" s="153">
        <v>1</v>
      </c>
      <c r="BK40" s="153"/>
      <c r="BL40" s="139">
        <v>8</v>
      </c>
      <c r="BM40" s="153"/>
      <c r="BN40" s="153"/>
      <c r="BO40" s="153"/>
      <c r="BP40" s="153"/>
      <c r="BQ40" s="153"/>
      <c r="BR40" s="153"/>
      <c r="BS40" s="112">
        <f t="shared" si="0"/>
        <v>8</v>
      </c>
      <c r="BT40" s="112">
        <f t="shared" si="2"/>
        <v>8</v>
      </c>
    </row>
    <row r="41" spans="1:72" ht="15">
      <c r="A41" s="3">
        <v>74</v>
      </c>
      <c r="B41" s="3" t="e">
        <f>'Bang luong'!#REF!</f>
        <v>#REF!</v>
      </c>
      <c r="C41" s="3" t="e">
        <f>VLOOKUP(B41,'Bang luong'!$B$5:$C$58,2,0)</f>
        <v>#REF!</v>
      </c>
      <c r="D41" s="3" t="e">
        <f>VLOOKUP(B41,'Bang luong'!$B$5:$D$99,3,0)</f>
        <v>#REF!</v>
      </c>
      <c r="E41" s="138">
        <v>1</v>
      </c>
      <c r="F41" s="138">
        <v>1</v>
      </c>
      <c r="G41" s="138">
        <v>1</v>
      </c>
      <c r="H41" s="143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12">
        <f t="shared" si="6"/>
        <v>3</v>
      </c>
      <c r="AK41" s="112">
        <f t="shared" si="1"/>
        <v>0</v>
      </c>
      <c r="AL41" s="112">
        <f t="shared" si="7"/>
        <v>0</v>
      </c>
      <c r="AM41" s="112">
        <f t="shared" si="8"/>
        <v>0</v>
      </c>
      <c r="AN41" s="153">
        <v>1</v>
      </c>
      <c r="AO41" s="153"/>
      <c r="AP41" s="153"/>
      <c r="AQ41" s="139">
        <v>8</v>
      </c>
      <c r="AR41" s="153"/>
      <c r="AS41" s="153"/>
      <c r="AT41" s="153"/>
      <c r="AU41" s="153"/>
      <c r="AV41" s="153"/>
      <c r="AW41" s="153"/>
      <c r="AX41" s="139"/>
      <c r="AY41" s="153"/>
      <c r="AZ41" s="153"/>
      <c r="BA41" s="153"/>
      <c r="BB41" s="153"/>
      <c r="BC41" s="153"/>
      <c r="BD41" s="153"/>
      <c r="BE41" s="139"/>
      <c r="BF41" s="153"/>
      <c r="BG41" s="153"/>
      <c r="BH41" s="153"/>
      <c r="BI41" s="153"/>
      <c r="BJ41" s="153"/>
      <c r="BK41" s="153"/>
      <c r="BL41" s="139"/>
      <c r="BM41" s="153"/>
      <c r="BN41" s="153"/>
      <c r="BO41" s="153"/>
      <c r="BP41" s="153"/>
      <c r="BQ41" s="153"/>
      <c r="BR41" s="153"/>
      <c r="BS41" s="112">
        <f t="shared" si="0"/>
        <v>1</v>
      </c>
      <c r="BT41" s="112">
        <f t="shared" si="2"/>
        <v>8</v>
      </c>
    </row>
    <row r="42" spans="1:72" ht="15">
      <c r="A42" s="3">
        <v>75</v>
      </c>
      <c r="B42" s="3" t="str">
        <f>'Bang luong'!B41</f>
        <v>NV77</v>
      </c>
      <c r="C42" s="3" t="str">
        <f>VLOOKUP(B42,'Bang luong'!$B$5:$C$58,2,0)</f>
        <v>Nguyễn Thanh Lâm</v>
      </c>
      <c r="D42" s="3" t="str">
        <f>VLOOKUP(B42,'Bang luong'!$B$5:$D$99,3,0)</f>
        <v xml:space="preserve">Công nhân </v>
      </c>
      <c r="E42" s="138">
        <v>1</v>
      </c>
      <c r="F42" s="138">
        <v>1</v>
      </c>
      <c r="G42" s="138">
        <v>1</v>
      </c>
      <c r="H42" s="143"/>
      <c r="I42" s="138">
        <v>1</v>
      </c>
      <c r="J42" s="138">
        <v>1</v>
      </c>
      <c r="K42" s="138">
        <v>0</v>
      </c>
      <c r="L42" s="138">
        <v>1</v>
      </c>
      <c r="M42" s="138">
        <v>1</v>
      </c>
      <c r="N42" s="138">
        <v>1</v>
      </c>
      <c r="O42" s="143"/>
      <c r="P42" s="138">
        <v>1</v>
      </c>
      <c r="Q42" s="138">
        <v>1</v>
      </c>
      <c r="R42" s="138">
        <v>1</v>
      </c>
      <c r="S42" s="138">
        <v>1</v>
      </c>
      <c r="T42" s="138">
        <v>0</v>
      </c>
      <c r="U42" s="138">
        <v>1</v>
      </c>
      <c r="V42" s="143"/>
      <c r="W42" s="138">
        <v>1</v>
      </c>
      <c r="X42" s="138">
        <v>1</v>
      </c>
      <c r="Y42" s="138">
        <v>1</v>
      </c>
      <c r="Z42" s="138">
        <v>1</v>
      </c>
      <c r="AA42" s="138">
        <v>1</v>
      </c>
      <c r="AB42" s="138">
        <v>1</v>
      </c>
      <c r="AC42" s="143"/>
      <c r="AD42" s="141">
        <v>0</v>
      </c>
      <c r="AE42" s="138">
        <v>0</v>
      </c>
      <c r="AF42" s="138">
        <v>0</v>
      </c>
      <c r="AG42" s="138">
        <v>0</v>
      </c>
      <c r="AH42" s="138">
        <v>0</v>
      </c>
      <c r="AI42" s="138">
        <v>1</v>
      </c>
      <c r="AJ42" s="112">
        <f t="shared" si="6"/>
        <v>20</v>
      </c>
      <c r="AK42" s="112">
        <f t="shared" si="1"/>
        <v>0</v>
      </c>
      <c r="AL42" s="112">
        <f t="shared" si="7"/>
        <v>0</v>
      </c>
      <c r="AM42" s="112">
        <f t="shared" si="8"/>
        <v>0</v>
      </c>
      <c r="AN42" s="153">
        <v>1</v>
      </c>
      <c r="AO42" s="153"/>
      <c r="AP42" s="153"/>
      <c r="AQ42" s="139">
        <v>8</v>
      </c>
      <c r="AR42" s="153">
        <v>1</v>
      </c>
      <c r="AS42" s="153">
        <v>1</v>
      </c>
      <c r="AT42" s="153"/>
      <c r="AU42" s="153">
        <v>1</v>
      </c>
      <c r="AV42" s="153">
        <v>1</v>
      </c>
      <c r="AW42" s="153"/>
      <c r="AX42" s="139">
        <v>8</v>
      </c>
      <c r="AY42" s="153">
        <v>1</v>
      </c>
      <c r="AZ42" s="153">
        <v>1</v>
      </c>
      <c r="BA42" s="153">
        <v>1</v>
      </c>
      <c r="BB42" s="153">
        <v>1</v>
      </c>
      <c r="BC42" s="153"/>
      <c r="BD42" s="153"/>
      <c r="BE42" s="139"/>
      <c r="BF42" s="153">
        <v>1</v>
      </c>
      <c r="BG42" s="153"/>
      <c r="BH42" s="153"/>
      <c r="BI42" s="153">
        <v>1</v>
      </c>
      <c r="BJ42" s="153">
        <v>1</v>
      </c>
      <c r="BK42" s="153"/>
      <c r="BL42" s="139">
        <v>8</v>
      </c>
      <c r="BM42" s="153"/>
      <c r="BN42" s="153"/>
      <c r="BO42" s="153"/>
      <c r="BP42" s="153"/>
      <c r="BQ42" s="153"/>
      <c r="BR42" s="153"/>
      <c r="BS42" s="112">
        <f t="shared" si="0"/>
        <v>12</v>
      </c>
      <c r="BT42" s="112">
        <f t="shared" si="2"/>
        <v>24</v>
      </c>
    </row>
    <row r="43" spans="1:72" ht="15">
      <c r="A43" s="3">
        <v>76</v>
      </c>
      <c r="B43" s="3" t="str">
        <f>'Bang luong'!B42</f>
        <v>NV78</v>
      </c>
      <c r="C43" s="3" t="str">
        <f>VLOOKUP(B43,'Bang luong'!$B$5:$C$58,2,0)</f>
        <v xml:space="preserve">Triệu Bô Na </v>
      </c>
      <c r="D43" s="3" t="str">
        <f>VLOOKUP(B43,'Bang luong'!$B$5:$D$99,3,0)</f>
        <v xml:space="preserve">Công nhân </v>
      </c>
      <c r="E43" s="138">
        <v>0.5</v>
      </c>
      <c r="F43" s="138">
        <v>1</v>
      </c>
      <c r="G43" s="138">
        <v>1</v>
      </c>
      <c r="H43" s="143"/>
      <c r="I43" s="138">
        <v>1</v>
      </c>
      <c r="J43" s="138">
        <v>1</v>
      </c>
      <c r="K43" s="138">
        <v>1</v>
      </c>
      <c r="L43" s="138">
        <v>1</v>
      </c>
      <c r="M43" s="138">
        <v>1</v>
      </c>
      <c r="N43" s="138">
        <v>0</v>
      </c>
      <c r="O43" s="143"/>
      <c r="P43" s="138">
        <v>0.5</v>
      </c>
      <c r="Q43" s="138">
        <v>1</v>
      </c>
      <c r="R43" s="138">
        <v>1</v>
      </c>
      <c r="S43" s="138">
        <v>1</v>
      </c>
      <c r="T43" s="138">
        <v>1</v>
      </c>
      <c r="U43" s="138">
        <v>1</v>
      </c>
      <c r="V43" s="143"/>
      <c r="W43" s="138">
        <v>1</v>
      </c>
      <c r="X43" s="138">
        <v>1</v>
      </c>
      <c r="Y43" s="138">
        <v>0.5</v>
      </c>
      <c r="Z43" s="138">
        <v>1</v>
      </c>
      <c r="AA43" s="138">
        <v>1</v>
      </c>
      <c r="AB43" s="138">
        <v>1</v>
      </c>
      <c r="AC43" s="143"/>
      <c r="AD43" s="141">
        <v>1</v>
      </c>
      <c r="AE43" s="138">
        <v>1</v>
      </c>
      <c r="AF43" s="138">
        <v>1</v>
      </c>
      <c r="AG43" s="138">
        <v>1</v>
      </c>
      <c r="AH43" s="138">
        <v>1</v>
      </c>
      <c r="AI43" s="138">
        <v>1</v>
      </c>
      <c r="AJ43" s="112">
        <f t="shared" si="6"/>
        <v>24.5</v>
      </c>
      <c r="AK43" s="112">
        <f t="shared" si="1"/>
        <v>0</v>
      </c>
      <c r="AL43" s="112">
        <f t="shared" si="7"/>
        <v>0</v>
      </c>
      <c r="AM43" s="112">
        <f t="shared" si="8"/>
        <v>0</v>
      </c>
      <c r="AN43" s="153"/>
      <c r="AO43" s="153"/>
      <c r="AP43" s="153"/>
      <c r="AQ43" s="139">
        <v>8</v>
      </c>
      <c r="AR43" s="153">
        <v>1</v>
      </c>
      <c r="AS43" s="153">
        <v>1</v>
      </c>
      <c r="AT43" s="153"/>
      <c r="AU43" s="153">
        <v>1</v>
      </c>
      <c r="AV43" s="153">
        <v>1</v>
      </c>
      <c r="AW43" s="153"/>
      <c r="AX43" s="139"/>
      <c r="AY43" s="153">
        <v>1</v>
      </c>
      <c r="AZ43" s="153">
        <v>1</v>
      </c>
      <c r="BA43" s="153">
        <v>1</v>
      </c>
      <c r="BB43" s="153">
        <v>1</v>
      </c>
      <c r="BC43" s="153">
        <v>1</v>
      </c>
      <c r="BD43" s="153">
        <v>1</v>
      </c>
      <c r="BE43" s="139"/>
      <c r="BF43" s="153">
        <v>1</v>
      </c>
      <c r="BG43" s="153"/>
      <c r="BH43" s="153"/>
      <c r="BI43" s="153">
        <v>1</v>
      </c>
      <c r="BJ43" s="153">
        <v>1</v>
      </c>
      <c r="BK43" s="153"/>
      <c r="BL43" s="139">
        <v>8</v>
      </c>
      <c r="BM43" s="153"/>
      <c r="BN43" s="153"/>
      <c r="BO43" s="153"/>
      <c r="BP43" s="153"/>
      <c r="BQ43" s="153">
        <v>1</v>
      </c>
      <c r="BR43" s="153"/>
      <c r="BS43" s="112">
        <f t="shared" si="0"/>
        <v>14</v>
      </c>
      <c r="BT43" s="112">
        <f t="shared" si="2"/>
        <v>16</v>
      </c>
    </row>
    <row r="44" spans="1:72" ht="15">
      <c r="A44" s="3">
        <v>77</v>
      </c>
      <c r="B44" s="3" t="str">
        <f>'Bang luong'!B43</f>
        <v>NV79</v>
      </c>
      <c r="C44" s="3" t="str">
        <f>VLOOKUP(B44,'Bang luong'!$B$5:$C$58,2,0)</f>
        <v xml:space="preserve">Trần Văn Thứ </v>
      </c>
      <c r="D44" s="3" t="str">
        <f>VLOOKUP(B44,'Bang luong'!$B$5:$D$99,3,0)</f>
        <v xml:space="preserve">Công nhân </v>
      </c>
      <c r="E44" s="138">
        <v>1</v>
      </c>
      <c r="F44" s="138">
        <v>1</v>
      </c>
      <c r="G44" s="138">
        <v>1</v>
      </c>
      <c r="H44" s="143"/>
      <c r="I44" s="138">
        <v>0</v>
      </c>
      <c r="J44" s="138">
        <v>1</v>
      </c>
      <c r="K44" s="138">
        <v>1</v>
      </c>
      <c r="L44" s="138">
        <v>1</v>
      </c>
      <c r="M44" s="138">
        <v>1</v>
      </c>
      <c r="N44" s="138">
        <v>1</v>
      </c>
      <c r="O44" s="143"/>
      <c r="P44" s="138">
        <v>1</v>
      </c>
      <c r="Q44" s="138">
        <v>1</v>
      </c>
      <c r="R44" s="138">
        <v>1</v>
      </c>
      <c r="S44" s="138">
        <v>0</v>
      </c>
      <c r="T44" s="138">
        <v>1</v>
      </c>
      <c r="U44" s="138">
        <v>1</v>
      </c>
      <c r="V44" s="143"/>
      <c r="W44" s="138">
        <v>1</v>
      </c>
      <c r="X44" s="138">
        <v>1</v>
      </c>
      <c r="Y44" s="138">
        <v>1</v>
      </c>
      <c r="Z44" s="138">
        <v>1</v>
      </c>
      <c r="AA44" s="138">
        <v>1</v>
      </c>
      <c r="AB44" s="138">
        <v>1</v>
      </c>
      <c r="AC44" s="143"/>
      <c r="AD44" s="141">
        <v>1</v>
      </c>
      <c r="AE44" s="138">
        <v>1</v>
      </c>
      <c r="AF44" s="138">
        <v>1</v>
      </c>
      <c r="AG44" s="138">
        <v>1</v>
      </c>
      <c r="AH44" s="138">
        <v>1</v>
      </c>
      <c r="AI44" s="138">
        <v>0</v>
      </c>
      <c r="AJ44" s="112">
        <f t="shared" si="6"/>
        <v>24</v>
      </c>
      <c r="AK44" s="112">
        <f t="shared" si="1"/>
        <v>0</v>
      </c>
      <c r="AL44" s="112">
        <f t="shared" si="7"/>
        <v>0</v>
      </c>
      <c r="AM44" s="112">
        <f t="shared" si="8"/>
        <v>0</v>
      </c>
      <c r="AN44" s="153">
        <v>1</v>
      </c>
      <c r="AO44" s="153"/>
      <c r="AP44" s="153"/>
      <c r="AQ44" s="139">
        <v>8</v>
      </c>
      <c r="AR44" s="153"/>
      <c r="AS44" s="153">
        <v>1</v>
      </c>
      <c r="AT44" s="153"/>
      <c r="AU44" s="153">
        <v>1</v>
      </c>
      <c r="AV44" s="153">
        <v>1</v>
      </c>
      <c r="AW44" s="153"/>
      <c r="AX44" s="139"/>
      <c r="AY44" s="153">
        <v>1</v>
      </c>
      <c r="AZ44" s="153">
        <v>1</v>
      </c>
      <c r="BA44" s="153">
        <v>1</v>
      </c>
      <c r="BB44" s="153"/>
      <c r="BC44" s="153"/>
      <c r="BD44" s="153"/>
      <c r="BE44" s="139"/>
      <c r="BF44" s="153"/>
      <c r="BG44" s="153"/>
      <c r="BH44" s="153"/>
      <c r="BI44" s="153">
        <v>1</v>
      </c>
      <c r="BJ44" s="153"/>
      <c r="BK44" s="153"/>
      <c r="BL44" s="139">
        <v>8</v>
      </c>
      <c r="BM44" s="153"/>
      <c r="BN44" s="153"/>
      <c r="BO44" s="153"/>
      <c r="BP44" s="153"/>
      <c r="BQ44" s="153"/>
      <c r="BR44" s="153"/>
      <c r="BS44" s="112">
        <f t="shared" si="0"/>
        <v>8</v>
      </c>
      <c r="BT44" s="112">
        <f t="shared" si="2"/>
        <v>16</v>
      </c>
    </row>
    <row r="45" spans="1:72" ht="15">
      <c r="A45" s="3">
        <v>78</v>
      </c>
      <c r="B45" s="3" t="str">
        <f>'Bang luong'!B44</f>
        <v>NV80</v>
      </c>
      <c r="C45" s="3" t="str">
        <f>VLOOKUP(B45,'Bang luong'!$B$5:$C$58,2,0)</f>
        <v>Quách Văn Chánh</v>
      </c>
      <c r="D45" s="3" t="str">
        <f>VLOOKUP(B45,'Bang luong'!$B$5:$D$99,3,0)</f>
        <v xml:space="preserve">Công nhân </v>
      </c>
      <c r="E45" s="138">
        <v>1</v>
      </c>
      <c r="F45" s="138">
        <v>1</v>
      </c>
      <c r="G45" s="138">
        <v>1</v>
      </c>
      <c r="H45" s="143"/>
      <c r="I45" s="138">
        <v>1</v>
      </c>
      <c r="J45" s="138">
        <v>1</v>
      </c>
      <c r="K45" s="138">
        <v>1</v>
      </c>
      <c r="L45" s="138">
        <v>1</v>
      </c>
      <c r="M45" s="138">
        <v>1</v>
      </c>
      <c r="N45" s="138">
        <v>1</v>
      </c>
      <c r="O45" s="143"/>
      <c r="P45" s="138">
        <v>0.5</v>
      </c>
      <c r="Q45" s="138">
        <v>1</v>
      </c>
      <c r="R45" s="138">
        <v>1</v>
      </c>
      <c r="S45" s="138">
        <v>1</v>
      </c>
      <c r="T45" s="138">
        <v>1</v>
      </c>
      <c r="U45" s="138">
        <v>1</v>
      </c>
      <c r="V45" s="143"/>
      <c r="W45" s="138">
        <v>1</v>
      </c>
      <c r="X45" s="138">
        <v>1</v>
      </c>
      <c r="Y45" s="138">
        <v>1</v>
      </c>
      <c r="Z45" s="138">
        <v>1</v>
      </c>
      <c r="AA45" s="138">
        <v>1</v>
      </c>
      <c r="AB45" s="138">
        <v>1</v>
      </c>
      <c r="AC45" s="143"/>
      <c r="AD45" s="141">
        <v>1</v>
      </c>
      <c r="AE45" s="138">
        <v>1</v>
      </c>
      <c r="AF45" s="138">
        <v>0.5</v>
      </c>
      <c r="AG45" s="138">
        <v>1</v>
      </c>
      <c r="AH45" s="138">
        <v>1</v>
      </c>
      <c r="AI45" s="138">
        <v>1</v>
      </c>
      <c r="AJ45" s="112">
        <f t="shared" si="6"/>
        <v>26</v>
      </c>
      <c r="AK45" s="112">
        <f t="shared" si="1"/>
        <v>0</v>
      </c>
      <c r="AL45" s="112">
        <f t="shared" si="7"/>
        <v>0</v>
      </c>
      <c r="AM45" s="112">
        <f t="shared" si="8"/>
        <v>0</v>
      </c>
      <c r="AN45" s="153">
        <v>1</v>
      </c>
      <c r="AO45" s="153"/>
      <c r="AP45" s="153"/>
      <c r="AQ45" s="139">
        <v>8</v>
      </c>
      <c r="AR45" s="153">
        <v>1</v>
      </c>
      <c r="AS45" s="153">
        <v>1</v>
      </c>
      <c r="AT45" s="153"/>
      <c r="AU45" s="153">
        <v>1</v>
      </c>
      <c r="AV45" s="153">
        <v>1</v>
      </c>
      <c r="AW45" s="153"/>
      <c r="AX45" s="139"/>
      <c r="AY45" s="153">
        <v>1</v>
      </c>
      <c r="AZ45" s="153">
        <v>1</v>
      </c>
      <c r="BA45" s="153">
        <v>1</v>
      </c>
      <c r="BB45" s="153">
        <v>1</v>
      </c>
      <c r="BC45" s="153">
        <v>1</v>
      </c>
      <c r="BD45" s="153">
        <v>1</v>
      </c>
      <c r="BE45" s="139"/>
      <c r="BF45" s="153">
        <v>1</v>
      </c>
      <c r="BG45" s="153"/>
      <c r="BH45" s="153"/>
      <c r="BI45" s="153">
        <v>1</v>
      </c>
      <c r="BJ45" s="153">
        <v>1</v>
      </c>
      <c r="BK45" s="153"/>
      <c r="BL45" s="139">
        <v>8</v>
      </c>
      <c r="BM45" s="153"/>
      <c r="BN45" s="153"/>
      <c r="BO45" s="153"/>
      <c r="BP45" s="153"/>
      <c r="BQ45" s="153">
        <v>1</v>
      </c>
      <c r="BR45" s="153"/>
      <c r="BS45" s="112">
        <f t="shared" si="0"/>
        <v>15</v>
      </c>
      <c r="BT45" s="112">
        <f t="shared" si="2"/>
        <v>16</v>
      </c>
    </row>
    <row r="46" spans="1:72" ht="15">
      <c r="A46" s="3">
        <v>79</v>
      </c>
      <c r="B46" s="3" t="str">
        <f>'Bang luong'!B45</f>
        <v>NV81</v>
      </c>
      <c r="C46" s="3" t="str">
        <f>VLOOKUP(B46,'Bang luong'!$B$5:$C$58,2,0)</f>
        <v>Nguyễn Tấn Kiệt</v>
      </c>
      <c r="D46" s="3" t="str">
        <f>VLOOKUP(B46,'Bang luong'!$B$5:$D$99,3,0)</f>
        <v xml:space="preserve">Công nhân </v>
      </c>
      <c r="E46" s="138">
        <v>1</v>
      </c>
      <c r="F46" s="138">
        <v>1</v>
      </c>
      <c r="G46" s="138">
        <v>1</v>
      </c>
      <c r="H46" s="143"/>
      <c r="I46" s="138">
        <v>1</v>
      </c>
      <c r="J46" s="138">
        <v>1</v>
      </c>
      <c r="K46" s="138">
        <v>1</v>
      </c>
      <c r="L46" s="138">
        <v>1</v>
      </c>
      <c r="M46" s="138">
        <v>1</v>
      </c>
      <c r="N46" s="138">
        <v>1</v>
      </c>
      <c r="O46" s="143"/>
      <c r="P46" s="138">
        <v>1</v>
      </c>
      <c r="Q46" s="138">
        <v>1</v>
      </c>
      <c r="R46" s="138">
        <v>1</v>
      </c>
      <c r="S46" s="138">
        <v>1</v>
      </c>
      <c r="T46" s="138">
        <v>1</v>
      </c>
      <c r="U46" s="138">
        <v>1</v>
      </c>
      <c r="V46" s="143"/>
      <c r="W46" s="138">
        <v>1</v>
      </c>
      <c r="X46" s="138">
        <v>1</v>
      </c>
      <c r="Y46" s="138">
        <v>1</v>
      </c>
      <c r="Z46" s="138">
        <v>1</v>
      </c>
      <c r="AA46" s="138">
        <v>1</v>
      </c>
      <c r="AB46" s="138">
        <v>1</v>
      </c>
      <c r="AC46" s="143"/>
      <c r="AD46" s="141">
        <v>1</v>
      </c>
      <c r="AE46" s="138">
        <v>1</v>
      </c>
      <c r="AF46" s="138">
        <v>1</v>
      </c>
      <c r="AG46" s="138">
        <v>1</v>
      </c>
      <c r="AH46" s="138">
        <v>1</v>
      </c>
      <c r="AI46" s="138">
        <v>1</v>
      </c>
      <c r="AJ46" s="112">
        <f t="shared" si="6"/>
        <v>27</v>
      </c>
      <c r="AK46" s="112">
        <f t="shared" si="1"/>
        <v>0</v>
      </c>
      <c r="AL46" s="112">
        <f t="shared" si="7"/>
        <v>0</v>
      </c>
      <c r="AM46" s="112">
        <f t="shared" si="8"/>
        <v>0</v>
      </c>
      <c r="AN46" s="153">
        <v>1</v>
      </c>
      <c r="AO46" s="153"/>
      <c r="AP46" s="153"/>
      <c r="AQ46" s="139">
        <v>8</v>
      </c>
      <c r="AR46" s="153">
        <v>1</v>
      </c>
      <c r="AS46" s="153">
        <v>1</v>
      </c>
      <c r="AT46" s="153"/>
      <c r="AU46" s="153">
        <v>1</v>
      </c>
      <c r="AV46" s="153">
        <v>1</v>
      </c>
      <c r="AW46" s="153"/>
      <c r="AX46" s="139"/>
      <c r="AY46" s="153">
        <v>1</v>
      </c>
      <c r="AZ46" s="153">
        <v>1</v>
      </c>
      <c r="BA46" s="153">
        <v>1</v>
      </c>
      <c r="BB46" s="153">
        <v>1</v>
      </c>
      <c r="BC46" s="153">
        <v>1</v>
      </c>
      <c r="BD46" s="153"/>
      <c r="BE46" s="139"/>
      <c r="BF46" s="153">
        <v>1</v>
      </c>
      <c r="BG46" s="153"/>
      <c r="BH46" s="153"/>
      <c r="BI46" s="153">
        <v>1</v>
      </c>
      <c r="BJ46" s="153">
        <v>1</v>
      </c>
      <c r="BK46" s="153"/>
      <c r="BL46" s="139">
        <v>8</v>
      </c>
      <c r="BM46" s="153"/>
      <c r="BN46" s="153"/>
      <c r="BO46" s="153"/>
      <c r="BP46" s="153"/>
      <c r="BQ46" s="153"/>
      <c r="BR46" s="153"/>
      <c r="BS46" s="112">
        <f t="shared" si="0"/>
        <v>13</v>
      </c>
      <c r="BT46" s="112">
        <f t="shared" si="2"/>
        <v>16</v>
      </c>
    </row>
    <row r="47" spans="1:72" ht="15">
      <c r="A47" s="3">
        <v>80</v>
      </c>
      <c r="B47" s="3" t="str">
        <f>'Bang luong'!B46</f>
        <v>NV82</v>
      </c>
      <c r="C47" s="3" t="str">
        <f>VLOOKUP(B47,'Bang luong'!$B$5:$C$58,2,0)</f>
        <v>Lê Tấn Hùng</v>
      </c>
      <c r="D47" s="3" t="str">
        <f>VLOOKUP(B47,'Bang luong'!$B$5:$D$99,3,0)</f>
        <v xml:space="preserve">Công nhân </v>
      </c>
      <c r="E47" s="138">
        <v>1</v>
      </c>
      <c r="F47" s="138">
        <v>1</v>
      </c>
      <c r="G47" s="138">
        <v>1</v>
      </c>
      <c r="H47" s="143"/>
      <c r="I47" s="138">
        <v>1</v>
      </c>
      <c r="J47" s="138">
        <v>1</v>
      </c>
      <c r="K47" s="138">
        <v>1</v>
      </c>
      <c r="L47" s="138">
        <v>1</v>
      </c>
      <c r="M47" s="138">
        <v>1</v>
      </c>
      <c r="N47" s="138">
        <v>1</v>
      </c>
      <c r="O47" s="143"/>
      <c r="P47" s="138">
        <v>1</v>
      </c>
      <c r="Q47" s="138">
        <v>1</v>
      </c>
      <c r="R47" s="138">
        <v>1</v>
      </c>
      <c r="S47" s="138">
        <v>1</v>
      </c>
      <c r="T47" s="138">
        <v>1</v>
      </c>
      <c r="U47" s="138">
        <v>1</v>
      </c>
      <c r="V47" s="143"/>
      <c r="W47" s="138">
        <v>1</v>
      </c>
      <c r="X47" s="138">
        <v>1</v>
      </c>
      <c r="Y47" s="138">
        <v>1</v>
      </c>
      <c r="Z47" s="138">
        <v>1</v>
      </c>
      <c r="AA47" s="138">
        <v>1</v>
      </c>
      <c r="AB47" s="138">
        <v>1</v>
      </c>
      <c r="AC47" s="143"/>
      <c r="AD47" s="141">
        <v>1</v>
      </c>
      <c r="AE47" s="138">
        <v>1</v>
      </c>
      <c r="AF47" s="138">
        <v>1</v>
      </c>
      <c r="AG47" s="138">
        <v>1</v>
      </c>
      <c r="AH47" s="138">
        <v>1</v>
      </c>
      <c r="AI47" s="138">
        <v>1</v>
      </c>
      <c r="AJ47" s="112">
        <f t="shared" si="6"/>
        <v>27</v>
      </c>
      <c r="AK47" s="112">
        <f t="shared" si="1"/>
        <v>0</v>
      </c>
      <c r="AL47" s="112">
        <f t="shared" si="7"/>
        <v>0</v>
      </c>
      <c r="AM47" s="112">
        <f t="shared" si="8"/>
        <v>0</v>
      </c>
      <c r="AN47" s="153">
        <v>1.5</v>
      </c>
      <c r="AO47" s="153"/>
      <c r="AP47" s="153"/>
      <c r="AQ47" s="139">
        <v>8</v>
      </c>
      <c r="AR47" s="153">
        <v>1.5</v>
      </c>
      <c r="AS47" s="153"/>
      <c r="AT47" s="153"/>
      <c r="AU47" s="153"/>
      <c r="AV47" s="153"/>
      <c r="AW47" s="153"/>
      <c r="AX47" s="139">
        <v>8</v>
      </c>
      <c r="AY47" s="153">
        <v>1</v>
      </c>
      <c r="AZ47" s="153"/>
      <c r="BA47" s="153"/>
      <c r="BB47" s="153"/>
      <c r="BC47" s="153"/>
      <c r="BD47" s="153"/>
      <c r="BE47" s="139"/>
      <c r="BF47" s="153"/>
      <c r="BG47" s="153"/>
      <c r="BH47" s="153"/>
      <c r="BI47" s="153"/>
      <c r="BJ47" s="153"/>
      <c r="BK47" s="153"/>
      <c r="BL47" s="139">
        <v>8</v>
      </c>
      <c r="BM47" s="153"/>
      <c r="BN47" s="153"/>
      <c r="BO47" s="153"/>
      <c r="BP47" s="153">
        <v>3</v>
      </c>
      <c r="BQ47" s="153"/>
      <c r="BR47" s="153">
        <v>3</v>
      </c>
      <c r="BS47" s="112">
        <f t="shared" si="0"/>
        <v>10</v>
      </c>
      <c r="BT47" s="112">
        <f t="shared" si="2"/>
        <v>24</v>
      </c>
    </row>
    <row r="48" spans="1:72" ht="15">
      <c r="A48" s="3">
        <v>81</v>
      </c>
      <c r="B48" s="3" t="str">
        <f>'Bang luong'!B47</f>
        <v>NV83</v>
      </c>
      <c r="C48" s="3" t="str">
        <f>VLOOKUP(B48,'Bang luong'!$B$5:$C$58,2,0)</f>
        <v>Nguyễn Văn Hoàng</v>
      </c>
      <c r="D48" s="3" t="str">
        <f>VLOOKUP(B48,'Bang luong'!$B$5:$D$99,3,0)</f>
        <v xml:space="preserve">Công nhân </v>
      </c>
      <c r="E48" s="138">
        <v>1</v>
      </c>
      <c r="F48" s="138">
        <v>1</v>
      </c>
      <c r="G48" s="138">
        <v>1</v>
      </c>
      <c r="H48" s="143"/>
      <c r="I48" s="138">
        <v>1</v>
      </c>
      <c r="J48" s="138">
        <v>1</v>
      </c>
      <c r="K48" s="138">
        <v>1</v>
      </c>
      <c r="L48" s="138">
        <v>0</v>
      </c>
      <c r="M48" s="138">
        <v>0</v>
      </c>
      <c r="N48" s="138">
        <v>1</v>
      </c>
      <c r="O48" s="143"/>
      <c r="P48" s="138">
        <v>1</v>
      </c>
      <c r="Q48" s="138">
        <v>0.5</v>
      </c>
      <c r="R48" s="138">
        <v>0</v>
      </c>
      <c r="S48" s="138">
        <v>1</v>
      </c>
      <c r="T48" s="138">
        <v>1</v>
      </c>
      <c r="U48" s="138">
        <v>0.5</v>
      </c>
      <c r="V48" s="143"/>
      <c r="W48" s="138">
        <v>1</v>
      </c>
      <c r="X48" s="138">
        <v>1</v>
      </c>
      <c r="Y48" s="138">
        <v>1</v>
      </c>
      <c r="Z48" s="138">
        <v>1</v>
      </c>
      <c r="AA48" s="138">
        <v>1</v>
      </c>
      <c r="AB48" s="138">
        <v>1</v>
      </c>
      <c r="AC48" s="143"/>
      <c r="AD48" s="141">
        <v>0</v>
      </c>
      <c r="AE48" s="138">
        <v>1</v>
      </c>
      <c r="AF48" s="138">
        <v>1</v>
      </c>
      <c r="AG48" s="138">
        <v>1</v>
      </c>
      <c r="AH48" s="138">
        <v>0</v>
      </c>
      <c r="AI48" s="138">
        <v>1</v>
      </c>
      <c r="AJ48" s="112">
        <f t="shared" si="6"/>
        <v>21</v>
      </c>
      <c r="AK48" s="112">
        <f t="shared" si="1"/>
        <v>0</v>
      </c>
      <c r="AL48" s="112">
        <f t="shared" si="7"/>
        <v>0</v>
      </c>
      <c r="AM48" s="112">
        <f t="shared" si="8"/>
        <v>0</v>
      </c>
      <c r="AN48" s="153">
        <v>1.5</v>
      </c>
      <c r="AO48" s="153"/>
      <c r="AP48" s="153"/>
      <c r="AQ48" s="139">
        <v>8</v>
      </c>
      <c r="AR48" s="153">
        <v>1.5</v>
      </c>
      <c r="AS48" s="153"/>
      <c r="AT48" s="153"/>
      <c r="AU48" s="153"/>
      <c r="AV48" s="153"/>
      <c r="AW48" s="153"/>
      <c r="AX48" s="139"/>
      <c r="AY48" s="153">
        <v>1</v>
      </c>
      <c r="AZ48" s="153"/>
      <c r="BA48" s="153"/>
      <c r="BB48" s="153">
        <v>1</v>
      </c>
      <c r="BC48" s="153">
        <v>1</v>
      </c>
      <c r="BD48" s="153"/>
      <c r="BE48" s="139"/>
      <c r="BF48" s="153">
        <v>1</v>
      </c>
      <c r="BG48" s="153"/>
      <c r="BH48" s="153"/>
      <c r="BI48" s="153">
        <v>1</v>
      </c>
      <c r="BJ48" s="153">
        <v>1</v>
      </c>
      <c r="BK48" s="153"/>
      <c r="BL48" s="139">
        <v>8</v>
      </c>
      <c r="BM48" s="153"/>
      <c r="BN48" s="153"/>
      <c r="BO48" s="153"/>
      <c r="BP48" s="153"/>
      <c r="BQ48" s="153"/>
      <c r="BR48" s="153"/>
      <c r="BS48" s="112">
        <f t="shared" si="0"/>
        <v>9</v>
      </c>
      <c r="BT48" s="112">
        <f t="shared" si="2"/>
        <v>16</v>
      </c>
    </row>
    <row r="49" spans="1:72" ht="15">
      <c r="A49" s="3">
        <v>82</v>
      </c>
      <c r="B49" s="3" t="e">
        <f>'Bang luong'!#REF!</f>
        <v>#REF!</v>
      </c>
      <c r="C49" s="3" t="e">
        <f>VLOOKUP(B49,'Bang luong'!$B$5:$C$58,2,0)</f>
        <v>#REF!</v>
      </c>
      <c r="D49" s="3" t="e">
        <f>VLOOKUP(B49,'Bang luong'!$B$5:$D$99,3,0)</f>
        <v>#REF!</v>
      </c>
      <c r="E49" s="138"/>
      <c r="F49" s="138"/>
      <c r="G49" s="138"/>
      <c r="H49" s="143"/>
      <c r="I49" s="141">
        <v>1</v>
      </c>
      <c r="J49" s="141">
        <v>1</v>
      </c>
      <c r="K49" s="141">
        <v>1</v>
      </c>
      <c r="L49" s="141">
        <v>1</v>
      </c>
      <c r="M49" s="141">
        <v>1</v>
      </c>
      <c r="N49" s="141">
        <v>0</v>
      </c>
      <c r="O49" s="143"/>
      <c r="P49" s="141">
        <v>1</v>
      </c>
      <c r="Q49" s="141"/>
      <c r="R49" s="141"/>
      <c r="S49" s="141"/>
      <c r="T49" s="141"/>
      <c r="U49" s="141"/>
      <c r="V49" s="143"/>
      <c r="W49" s="141"/>
      <c r="X49" s="141"/>
      <c r="Y49" s="141"/>
      <c r="Z49" s="141"/>
      <c r="AA49" s="141"/>
      <c r="AB49" s="141"/>
      <c r="AC49" s="143"/>
      <c r="AD49" s="141"/>
      <c r="AE49" s="138"/>
      <c r="AF49" s="138"/>
      <c r="AG49" s="138"/>
      <c r="AH49" s="138"/>
      <c r="AI49" s="138"/>
      <c r="AJ49" s="112">
        <f t="shared" si="6"/>
        <v>6</v>
      </c>
      <c r="AK49" s="112">
        <f t="shared" si="1"/>
        <v>0</v>
      </c>
      <c r="AL49" s="112">
        <f t="shared" si="7"/>
        <v>0</v>
      </c>
      <c r="AM49" s="112">
        <f t="shared" si="8"/>
        <v>0</v>
      </c>
      <c r="AN49" s="153"/>
      <c r="AO49" s="153"/>
      <c r="AP49" s="153"/>
      <c r="AQ49" s="139"/>
      <c r="AR49" s="153"/>
      <c r="AS49" s="153">
        <v>1</v>
      </c>
      <c r="AT49" s="153"/>
      <c r="AU49" s="153">
        <v>1</v>
      </c>
      <c r="AV49" s="153">
        <v>1</v>
      </c>
      <c r="AW49" s="153"/>
      <c r="AX49" s="139"/>
      <c r="AY49" s="153">
        <v>1</v>
      </c>
      <c r="AZ49" s="153"/>
      <c r="BA49" s="153"/>
      <c r="BB49" s="153"/>
      <c r="BC49" s="153"/>
      <c r="BD49" s="153"/>
      <c r="BE49" s="139"/>
      <c r="BF49" s="153"/>
      <c r="BG49" s="153"/>
      <c r="BH49" s="153"/>
      <c r="BI49" s="153"/>
      <c r="BJ49" s="153"/>
      <c r="BK49" s="153"/>
      <c r="BL49" s="139"/>
      <c r="BM49" s="153"/>
      <c r="BN49" s="153"/>
      <c r="BO49" s="153"/>
      <c r="BP49" s="153"/>
      <c r="BQ49" s="153"/>
      <c r="BR49" s="153"/>
      <c r="BS49" s="112">
        <f t="shared" si="0"/>
        <v>4</v>
      </c>
      <c r="BT49" s="112">
        <f t="shared" si="2"/>
        <v>0</v>
      </c>
    </row>
    <row r="50" spans="1:72" ht="15">
      <c r="A50" s="3">
        <v>83</v>
      </c>
      <c r="B50" s="3" t="e">
        <f>'Bang luong'!#REF!</f>
        <v>#REF!</v>
      </c>
      <c r="C50" s="3" t="e">
        <f>VLOOKUP(B50,'Bang luong'!$B$5:$C$58,2,0)</f>
        <v>#REF!</v>
      </c>
      <c r="D50" s="3" t="e">
        <f>VLOOKUP(B50,'Bang luong'!$B$5:$D$99,3,0)</f>
        <v>#REF!</v>
      </c>
      <c r="E50" s="138">
        <v>0</v>
      </c>
      <c r="F50" s="138">
        <v>0</v>
      </c>
      <c r="G50" s="138">
        <v>0</v>
      </c>
      <c r="H50" s="143"/>
      <c r="I50" s="138">
        <v>0</v>
      </c>
      <c r="J50" s="138">
        <v>0</v>
      </c>
      <c r="K50" s="138">
        <v>0</v>
      </c>
      <c r="L50" s="138">
        <v>0</v>
      </c>
      <c r="M50" s="138">
        <v>0</v>
      </c>
      <c r="N50" s="138">
        <v>0</v>
      </c>
      <c r="O50" s="143"/>
      <c r="P50" s="138">
        <v>0</v>
      </c>
      <c r="Q50" s="138">
        <v>0</v>
      </c>
      <c r="R50" s="138">
        <v>0</v>
      </c>
      <c r="S50" s="138">
        <v>0</v>
      </c>
      <c r="T50" s="138">
        <v>0</v>
      </c>
      <c r="U50" s="138">
        <v>0</v>
      </c>
      <c r="V50" s="143"/>
      <c r="W50" s="138">
        <v>0</v>
      </c>
      <c r="X50" s="138">
        <v>0</v>
      </c>
      <c r="Y50" s="138">
        <v>0</v>
      </c>
      <c r="Z50" s="138">
        <v>0</v>
      </c>
      <c r="AA50" s="138">
        <v>0</v>
      </c>
      <c r="AB50" s="138">
        <v>0</v>
      </c>
      <c r="AC50" s="143"/>
      <c r="AD50" s="138">
        <v>0</v>
      </c>
      <c r="AE50" s="138">
        <v>0</v>
      </c>
      <c r="AF50" s="138">
        <v>0</v>
      </c>
      <c r="AG50" s="138">
        <v>0</v>
      </c>
      <c r="AH50" s="138">
        <v>0</v>
      </c>
      <c r="AI50" s="138">
        <v>0</v>
      </c>
      <c r="AJ50" s="112">
        <f t="shared" si="6"/>
        <v>0</v>
      </c>
      <c r="AK50" s="112">
        <f t="shared" si="1"/>
        <v>0</v>
      </c>
      <c r="AL50" s="112">
        <f t="shared" si="7"/>
        <v>0</v>
      </c>
      <c r="AM50" s="112">
        <f t="shared" si="8"/>
        <v>0</v>
      </c>
      <c r="AN50" s="151"/>
      <c r="AO50" s="151"/>
      <c r="AP50" s="151"/>
      <c r="AQ50" s="151"/>
      <c r="AR50" s="151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8"/>
      <c r="BF50" s="148"/>
      <c r="BG50" s="148"/>
      <c r="BH50" s="148"/>
      <c r="BI50" s="148"/>
      <c r="BJ50" s="148"/>
      <c r="BK50" s="148"/>
      <c r="BL50" s="139"/>
      <c r="BM50" s="148"/>
      <c r="BN50" s="148"/>
      <c r="BO50" s="148"/>
      <c r="BP50" s="148"/>
      <c r="BQ50" s="148"/>
      <c r="BR50" s="148"/>
      <c r="BS50" s="112">
        <f t="shared" si="0"/>
        <v>0</v>
      </c>
      <c r="BT50" s="112">
        <f t="shared" si="2"/>
        <v>0</v>
      </c>
    </row>
    <row r="51" spans="1:72" ht="15">
      <c r="A51" s="3"/>
      <c r="B51" s="3" t="e">
        <f>'Bang luong'!#REF!</f>
        <v>#REF!</v>
      </c>
      <c r="C51" s="3" t="e">
        <f>VLOOKUP(B51,'Bang luong'!$B$5:$C$58,2,0)</f>
        <v>#REF!</v>
      </c>
      <c r="D51" s="3" t="e">
        <f>VLOOKUP(B51,'Bang luong'!$B$5:$D$99,3,0)</f>
        <v>#REF!</v>
      </c>
      <c r="E51" s="138"/>
      <c r="F51" s="138"/>
      <c r="G51" s="138"/>
      <c r="H51" s="143"/>
      <c r="I51" s="141"/>
      <c r="J51" s="141"/>
      <c r="K51" s="141"/>
      <c r="L51" s="141"/>
      <c r="M51" s="141"/>
      <c r="N51" s="141"/>
      <c r="O51" s="143"/>
      <c r="P51" s="141"/>
      <c r="Q51" s="141"/>
      <c r="R51" s="141"/>
      <c r="S51" s="141"/>
      <c r="T51" s="141"/>
      <c r="U51" s="141"/>
      <c r="V51" s="143"/>
      <c r="W51" s="141"/>
      <c r="X51" s="141"/>
      <c r="Y51" s="141"/>
      <c r="Z51" s="141"/>
      <c r="AA51" s="141"/>
      <c r="AB51" s="141">
        <v>1</v>
      </c>
      <c r="AC51" s="143"/>
      <c r="AD51" s="141">
        <v>1</v>
      </c>
      <c r="AE51" s="138">
        <v>0.5</v>
      </c>
      <c r="AF51" s="138"/>
      <c r="AG51" s="138"/>
      <c r="AH51" s="138"/>
      <c r="AI51" s="138"/>
      <c r="AJ51" s="112">
        <f t="shared" si="6"/>
        <v>2.5</v>
      </c>
      <c r="AK51" s="112">
        <f t="shared" si="1"/>
        <v>0</v>
      </c>
      <c r="AL51" s="112">
        <f t="shared" si="7"/>
        <v>0</v>
      </c>
      <c r="AM51" s="112">
        <f t="shared" si="8"/>
        <v>0</v>
      </c>
      <c r="AN51" s="151"/>
      <c r="AO51" s="151"/>
      <c r="AP51" s="151"/>
      <c r="AQ51" s="151"/>
      <c r="AR51" s="151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39">
        <v>2</v>
      </c>
      <c r="BM51" s="148"/>
      <c r="BN51" s="148"/>
      <c r="BO51" s="148"/>
      <c r="BP51" s="148"/>
      <c r="BQ51" s="148"/>
      <c r="BR51" s="148"/>
      <c r="BS51" s="112">
        <f t="shared" si="0"/>
        <v>0</v>
      </c>
      <c r="BT51" s="112">
        <f t="shared" si="2"/>
        <v>2</v>
      </c>
    </row>
    <row r="52" spans="1:72" ht="15">
      <c r="A52" s="3"/>
      <c r="B52" s="3" t="str">
        <f>'Bang luong'!B48</f>
        <v>NV87</v>
      </c>
      <c r="C52" s="3" t="str">
        <f>VLOOKUP(B52,'Bang luong'!$B$5:$C$58,2,0)</f>
        <v>Danh Út</v>
      </c>
      <c r="D52" s="3" t="str">
        <f>VLOOKUP(B52,'Bang luong'!$B$5:$D$99,3,0)</f>
        <v xml:space="preserve">Công nhân </v>
      </c>
      <c r="E52" s="138"/>
      <c r="F52" s="138"/>
      <c r="G52" s="138"/>
      <c r="H52" s="143"/>
      <c r="I52" s="141"/>
      <c r="J52" s="141"/>
      <c r="K52" s="141"/>
      <c r="L52" s="141"/>
      <c r="M52" s="141"/>
      <c r="N52" s="141"/>
      <c r="O52" s="143"/>
      <c r="P52" s="141"/>
      <c r="Q52" s="141"/>
      <c r="R52" s="141"/>
      <c r="S52" s="141"/>
      <c r="T52" s="141"/>
      <c r="U52" s="141"/>
      <c r="V52" s="143"/>
      <c r="W52" s="141"/>
      <c r="X52" s="141"/>
      <c r="Y52" s="141"/>
      <c r="Z52" s="141"/>
      <c r="AA52" s="141"/>
      <c r="AB52" s="141">
        <v>1</v>
      </c>
      <c r="AC52" s="143"/>
      <c r="AD52" s="141">
        <v>1</v>
      </c>
      <c r="AE52" s="138">
        <v>1</v>
      </c>
      <c r="AF52" s="138">
        <v>1</v>
      </c>
      <c r="AG52" s="138">
        <v>1</v>
      </c>
      <c r="AH52" s="138">
        <v>1</v>
      </c>
      <c r="AI52" s="138">
        <v>1</v>
      </c>
      <c r="AJ52" s="112">
        <f t="shared" si="6"/>
        <v>7</v>
      </c>
      <c r="AK52" s="112">
        <f t="shared" si="1"/>
        <v>0</v>
      </c>
      <c r="AL52" s="112">
        <f t="shared" si="7"/>
        <v>0</v>
      </c>
      <c r="AM52" s="112">
        <f t="shared" si="8"/>
        <v>0</v>
      </c>
      <c r="AN52" s="153"/>
      <c r="AO52" s="153"/>
      <c r="AP52" s="153"/>
      <c r="AQ52" s="139"/>
      <c r="AR52" s="153"/>
      <c r="AS52" s="153"/>
      <c r="AT52" s="153"/>
      <c r="AU52" s="153"/>
      <c r="AV52" s="153"/>
      <c r="AW52" s="153"/>
      <c r="AX52" s="139"/>
      <c r="AY52" s="153"/>
      <c r="AZ52" s="153"/>
      <c r="BA52" s="153"/>
      <c r="BB52" s="153"/>
      <c r="BC52" s="153"/>
      <c r="BD52" s="153"/>
      <c r="BE52" s="139"/>
      <c r="BF52" s="153"/>
      <c r="BG52" s="153"/>
      <c r="BH52" s="153"/>
      <c r="BI52" s="153"/>
      <c r="BJ52" s="153"/>
      <c r="BK52" s="153"/>
      <c r="BL52" s="139">
        <v>8</v>
      </c>
      <c r="BM52" s="153"/>
      <c r="BN52" s="153"/>
      <c r="BO52" s="153"/>
      <c r="BP52" s="153"/>
      <c r="BQ52" s="153"/>
      <c r="BR52" s="153"/>
      <c r="BS52" s="112">
        <f t="shared" si="0"/>
        <v>0</v>
      </c>
      <c r="BT52" s="112">
        <f t="shared" si="2"/>
        <v>8</v>
      </c>
    </row>
    <row r="53" spans="1:72" ht="15">
      <c r="A53" s="3"/>
      <c r="B53" s="3" t="str">
        <f>'Bang luong'!B49</f>
        <v>NV88</v>
      </c>
      <c r="C53" s="3" t="str">
        <f>VLOOKUP(B53,'Bang luong'!$B$5:$C$58,2,0)</f>
        <v>Danh Dên</v>
      </c>
      <c r="D53" s="3" t="str">
        <f>VLOOKUP(B53,'Bang luong'!$B$5:$D$99,3,0)</f>
        <v xml:space="preserve">Công nhân </v>
      </c>
      <c r="E53" s="138"/>
      <c r="F53" s="138"/>
      <c r="G53" s="138"/>
      <c r="H53" s="143"/>
      <c r="I53" s="141"/>
      <c r="J53" s="141"/>
      <c r="K53" s="141"/>
      <c r="L53" s="141"/>
      <c r="M53" s="141"/>
      <c r="N53" s="141"/>
      <c r="O53" s="143"/>
      <c r="P53" s="141"/>
      <c r="Q53" s="141"/>
      <c r="R53" s="141"/>
      <c r="S53" s="141"/>
      <c r="T53" s="141"/>
      <c r="U53" s="141"/>
      <c r="V53" s="143"/>
      <c r="W53" s="141"/>
      <c r="X53" s="141"/>
      <c r="Y53" s="141"/>
      <c r="Z53" s="141"/>
      <c r="AA53" s="141"/>
      <c r="AB53" s="141">
        <v>1</v>
      </c>
      <c r="AC53" s="143"/>
      <c r="AD53" s="141">
        <v>1</v>
      </c>
      <c r="AE53" s="138">
        <v>1</v>
      </c>
      <c r="AF53" s="138">
        <v>1</v>
      </c>
      <c r="AG53" s="138">
        <v>1</v>
      </c>
      <c r="AH53" s="138">
        <v>1</v>
      </c>
      <c r="AI53" s="138">
        <v>1</v>
      </c>
      <c r="AJ53" s="112">
        <f t="shared" si="6"/>
        <v>7</v>
      </c>
      <c r="AK53" s="112">
        <f t="shared" si="1"/>
        <v>0</v>
      </c>
      <c r="AL53" s="112">
        <f t="shared" si="7"/>
        <v>0</v>
      </c>
      <c r="AM53" s="112">
        <f t="shared" si="8"/>
        <v>0</v>
      </c>
      <c r="AN53" s="153"/>
      <c r="AO53" s="153"/>
      <c r="AP53" s="153"/>
      <c r="AQ53" s="139"/>
      <c r="AR53" s="153"/>
      <c r="AS53" s="153"/>
      <c r="AT53" s="153"/>
      <c r="AU53" s="153"/>
      <c r="AV53" s="153"/>
      <c r="AW53" s="153"/>
      <c r="AX53" s="139"/>
      <c r="AY53" s="153"/>
      <c r="AZ53" s="153"/>
      <c r="BA53" s="153"/>
      <c r="BB53" s="153"/>
      <c r="BC53" s="153"/>
      <c r="BD53" s="153"/>
      <c r="BE53" s="139"/>
      <c r="BF53" s="153"/>
      <c r="BG53" s="153"/>
      <c r="BH53" s="153"/>
      <c r="BI53" s="153"/>
      <c r="BJ53" s="153"/>
      <c r="BK53" s="153"/>
      <c r="BL53" s="139">
        <v>8</v>
      </c>
      <c r="BM53" s="153"/>
      <c r="BN53" s="153"/>
      <c r="BO53" s="153"/>
      <c r="BP53" s="153"/>
      <c r="BQ53" s="153"/>
      <c r="BR53" s="153"/>
      <c r="BS53" s="112">
        <f t="shared" si="0"/>
        <v>0</v>
      </c>
      <c r="BT53" s="112">
        <f t="shared" si="2"/>
        <v>8</v>
      </c>
    </row>
    <row r="54" spans="1:72">
      <c r="A54" s="3"/>
      <c r="B54" s="3" t="str">
        <f>'Bang luong'!B50</f>
        <v>NV89</v>
      </c>
      <c r="C54" s="3"/>
      <c r="D54" s="3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12">
        <f t="shared" si="6"/>
        <v>0</v>
      </c>
      <c r="AK54" s="112">
        <f t="shared" si="1"/>
        <v>0</v>
      </c>
      <c r="AL54" s="112">
        <f t="shared" si="7"/>
        <v>0</v>
      </c>
      <c r="AM54" s="112">
        <f t="shared" si="8"/>
        <v>0</v>
      </c>
      <c r="AN54" s="151"/>
      <c r="AO54" s="151"/>
      <c r="AP54" s="151"/>
      <c r="AQ54" s="151"/>
      <c r="AR54" s="151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12">
        <f t="shared" si="0"/>
        <v>0</v>
      </c>
      <c r="BT54" s="112">
        <f t="shared" si="2"/>
        <v>0</v>
      </c>
    </row>
    <row r="55" spans="1:72">
      <c r="A55" s="3"/>
      <c r="B55" s="3" t="str">
        <f>'Bang luong'!B51</f>
        <v>NV90</v>
      </c>
      <c r="C55" s="3"/>
      <c r="D55" s="3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12">
        <f t="shared" si="6"/>
        <v>0</v>
      </c>
      <c r="AK55" s="112">
        <f t="shared" si="1"/>
        <v>0</v>
      </c>
      <c r="AL55" s="112">
        <f t="shared" si="7"/>
        <v>0</v>
      </c>
      <c r="AM55" s="112">
        <f t="shared" si="8"/>
        <v>0</v>
      </c>
      <c r="AN55" s="151"/>
      <c r="AO55" s="151"/>
      <c r="AP55" s="151"/>
      <c r="AQ55" s="151"/>
      <c r="AR55" s="151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/>
      <c r="BQ55" s="148"/>
      <c r="BR55" s="148"/>
      <c r="BS55" s="112">
        <f t="shared" si="0"/>
        <v>0</v>
      </c>
      <c r="BT55" s="112">
        <f t="shared" si="2"/>
        <v>0</v>
      </c>
    </row>
    <row r="56" spans="1:72">
      <c r="AJ56" s="137">
        <f>SUM(AJ6:AJ55)</f>
        <v>972.5</v>
      </c>
    </row>
  </sheetData>
  <mergeCells count="5">
    <mergeCell ref="E3:AI3"/>
    <mergeCell ref="AJ3:AK3"/>
    <mergeCell ref="AL3:AM3"/>
    <mergeCell ref="AN3:BR3"/>
    <mergeCell ref="BS3:BT3"/>
  </mergeCells>
  <pageMargins left="0" right="0" top="0" bottom="0" header="0" footer="0"/>
  <pageSetup paperSize="9" scale="3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S99"/>
  <sheetViews>
    <sheetView topLeftCell="A75" workbookViewId="0">
      <pane xSplit="1" topLeftCell="D1" activePane="topRight" state="frozen"/>
      <selection pane="topRight" activeCell="I55" sqref="I55"/>
    </sheetView>
  </sheetViews>
  <sheetFormatPr defaultColWidth="9.109375" defaultRowHeight="13.8"/>
  <cols>
    <col min="1" max="1" width="5.109375" style="1" customWidth="1"/>
    <col min="2" max="2" width="7.88671875" style="1" customWidth="1"/>
    <col min="3" max="3" width="21.109375" style="1" customWidth="1"/>
    <col min="4" max="4" width="13.44140625" style="1" customWidth="1"/>
    <col min="5" max="5" width="11.6640625" style="1" customWidth="1"/>
    <col min="6" max="6" width="8.109375" style="26" customWidth="1"/>
    <col min="7" max="7" width="6.5546875" style="26" bestFit="1" customWidth="1"/>
    <col min="8" max="8" width="11.33203125" style="31" customWidth="1"/>
    <col min="9" max="9" width="6.5546875" style="31" customWidth="1"/>
    <col min="10" max="13" width="7.44140625" style="31" customWidth="1"/>
    <col min="14" max="14" width="13.44140625" style="31" customWidth="1"/>
    <col min="15" max="15" width="10.5546875" style="31" customWidth="1"/>
    <col min="16" max="16" width="12.88671875" style="31" customWidth="1"/>
    <col min="17" max="19" width="11.44140625" style="1" customWidth="1"/>
    <col min="20" max="16384" width="9.109375" style="1"/>
  </cols>
  <sheetData>
    <row r="3" spans="1:19">
      <c r="E3" s="22">
        <v>3100000</v>
      </c>
    </row>
    <row r="4" spans="1:19" s="5" customFormat="1" ht="52.8">
      <c r="A4" s="4" t="s">
        <v>0</v>
      </c>
      <c r="B4" s="4" t="s">
        <v>1</v>
      </c>
      <c r="C4" s="4" t="s">
        <v>2</v>
      </c>
      <c r="D4" s="4" t="s">
        <v>3</v>
      </c>
      <c r="E4" s="4" t="s">
        <v>229</v>
      </c>
      <c r="F4" s="4" t="s">
        <v>217</v>
      </c>
      <c r="G4" s="4" t="s">
        <v>230</v>
      </c>
      <c r="H4" s="32" t="s">
        <v>356</v>
      </c>
      <c r="I4" s="32" t="s">
        <v>354</v>
      </c>
      <c r="J4" s="32" t="s">
        <v>359</v>
      </c>
      <c r="K4" s="32" t="s">
        <v>357</v>
      </c>
      <c r="L4" s="32" t="s">
        <v>358</v>
      </c>
      <c r="M4" s="32" t="s">
        <v>360</v>
      </c>
      <c r="N4" s="32" t="s">
        <v>232</v>
      </c>
      <c r="O4" s="32" t="s">
        <v>238</v>
      </c>
      <c r="P4" s="32" t="s">
        <v>237</v>
      </c>
      <c r="Q4" s="32"/>
      <c r="R4" s="4"/>
      <c r="S4" s="4"/>
    </row>
    <row r="5" spans="1:19" s="2" customFormat="1" hidden="1">
      <c r="A5" s="23" t="s">
        <v>5</v>
      </c>
      <c r="B5" s="23"/>
      <c r="C5" s="23" t="s">
        <v>4</v>
      </c>
      <c r="D5" s="24"/>
      <c r="E5" s="25"/>
      <c r="F5" s="27"/>
      <c r="G5" s="27"/>
      <c r="H5" s="33"/>
      <c r="I5" s="33"/>
      <c r="J5" s="33"/>
      <c r="K5" s="33"/>
      <c r="L5" s="33"/>
      <c r="M5" s="33"/>
      <c r="N5" s="33"/>
      <c r="O5" s="33"/>
      <c r="P5" s="33"/>
      <c r="Q5" s="24"/>
      <c r="R5" s="24"/>
      <c r="S5" s="24"/>
    </row>
    <row r="6" spans="1:19" hidden="1">
      <c r="A6" s="3">
        <v>1</v>
      </c>
      <c r="B6" s="3" t="s">
        <v>118</v>
      </c>
      <c r="C6" s="3" t="s">
        <v>20</v>
      </c>
      <c r="D6" s="3" t="s">
        <v>94</v>
      </c>
      <c r="E6" s="22">
        <f t="shared" ref="E6:E72" si="0">$E$3</f>
        <v>3100000</v>
      </c>
      <c r="F6" s="28" t="s">
        <v>210</v>
      </c>
      <c r="G6" s="28">
        <v>10</v>
      </c>
      <c r="H6" s="22" t="e">
        <f t="array" ref="H6">INDEX(Sheet2!$C$1:$C$81,MATCH(BLuong!F6&amp;BLuong!G6,Sheet2!$A$1:$A$81&amp;Sheet2!$B$1:$B$81,0),0)</f>
        <v>#N/A</v>
      </c>
      <c r="I6" s="22">
        <v>26</v>
      </c>
      <c r="J6" s="22"/>
      <c r="K6" s="22"/>
      <c r="L6" s="22"/>
      <c r="M6" s="22"/>
      <c r="N6" s="22"/>
      <c r="O6" s="22"/>
      <c r="P6" s="106"/>
      <c r="Q6" s="3"/>
      <c r="R6" s="3"/>
      <c r="S6" s="3"/>
    </row>
    <row r="7" spans="1:19" hidden="1">
      <c r="A7" s="3">
        <v>2</v>
      </c>
      <c r="B7" s="3" t="s">
        <v>119</v>
      </c>
      <c r="C7" s="3" t="s">
        <v>21</v>
      </c>
      <c r="D7" s="3" t="s">
        <v>95</v>
      </c>
      <c r="E7" s="22">
        <f t="shared" si="0"/>
        <v>3100000</v>
      </c>
      <c r="F7" s="28" t="s">
        <v>208</v>
      </c>
      <c r="G7" s="28">
        <v>7</v>
      </c>
      <c r="H7" s="22">
        <f>SUMIFS(Sheet2!$C$1:$C$81,Sheet2!$A$1:$A$81,BLuong!F7,Sheet2!$B$1:$B$81,BLuong!G7)</f>
        <v>18725</v>
      </c>
      <c r="I7" s="22">
        <v>26</v>
      </c>
      <c r="J7" s="22"/>
      <c r="K7" s="22"/>
      <c r="L7" s="22"/>
      <c r="M7" s="22"/>
      <c r="N7" s="22"/>
      <c r="O7" s="22"/>
      <c r="P7" s="106"/>
      <c r="Q7" s="3"/>
      <c r="R7" s="3"/>
      <c r="S7" s="3"/>
    </row>
    <row r="8" spans="1:19" s="2" customFormat="1" ht="22.8" hidden="1">
      <c r="A8" s="23" t="s">
        <v>6</v>
      </c>
      <c r="B8" s="23"/>
      <c r="C8" s="23" t="s">
        <v>7</v>
      </c>
      <c r="D8" s="23"/>
      <c r="E8" s="25">
        <f t="shared" si="0"/>
        <v>3100000</v>
      </c>
      <c r="F8" s="29"/>
      <c r="G8" s="29"/>
      <c r="H8" s="34"/>
      <c r="I8" s="34"/>
      <c r="J8" s="34"/>
      <c r="K8" s="34"/>
      <c r="L8" s="34"/>
      <c r="M8" s="34"/>
      <c r="N8" s="34"/>
      <c r="O8" s="34"/>
      <c r="P8" s="34"/>
      <c r="Q8" s="23"/>
      <c r="R8" s="23"/>
      <c r="S8" s="23"/>
    </row>
    <row r="9" spans="1:19" ht="34.200000000000003" hidden="1">
      <c r="A9" s="3">
        <v>3</v>
      </c>
      <c r="B9" s="3" t="s">
        <v>120</v>
      </c>
      <c r="C9" s="3" t="s">
        <v>22</v>
      </c>
      <c r="D9" s="3" t="s">
        <v>96</v>
      </c>
      <c r="E9" s="22">
        <f t="shared" si="0"/>
        <v>3100000</v>
      </c>
      <c r="F9" s="28" t="s">
        <v>208</v>
      </c>
      <c r="G9" s="28">
        <v>1</v>
      </c>
      <c r="H9" s="22">
        <f>SUMIFS(Sheet2!$C$1:$C$81,Sheet2!$A$1:$A$81,BLuong!F9,Sheet2!$B$1:$B$81,BLuong!G9)</f>
        <v>7490</v>
      </c>
      <c r="I9" s="22">
        <v>26</v>
      </c>
      <c r="J9" s="22"/>
      <c r="K9" s="22"/>
      <c r="L9" s="22"/>
      <c r="M9" s="22"/>
      <c r="N9" s="22"/>
      <c r="O9" s="22"/>
      <c r="P9" s="106"/>
      <c r="Q9" s="3"/>
      <c r="R9" s="3"/>
      <c r="S9" s="3"/>
    </row>
    <row r="10" spans="1:19" ht="22.8" hidden="1">
      <c r="A10" s="3">
        <v>4</v>
      </c>
      <c r="B10" s="3" t="s">
        <v>121</v>
      </c>
      <c r="C10" s="3" t="s">
        <v>23</v>
      </c>
      <c r="D10" s="3" t="s">
        <v>97</v>
      </c>
      <c r="E10" s="22">
        <f t="shared" si="0"/>
        <v>3100000</v>
      </c>
      <c r="F10" s="28" t="s">
        <v>210</v>
      </c>
      <c r="G10" s="28">
        <v>1</v>
      </c>
      <c r="H10" s="22">
        <f>SUMIFS(Sheet2!$C$1:$C$81,Sheet2!$A$1:$A$81,BLuong!F10,Sheet2!$B$1:$B$81,BLuong!G10)</f>
        <v>6366.5</v>
      </c>
      <c r="I10" s="22">
        <v>26</v>
      </c>
      <c r="J10" s="22"/>
      <c r="K10" s="22"/>
      <c r="L10" s="22"/>
      <c r="M10" s="22"/>
      <c r="N10" s="22"/>
      <c r="O10" s="22"/>
      <c r="P10" s="106"/>
      <c r="Q10" s="3"/>
      <c r="R10" s="3"/>
      <c r="S10" s="3"/>
    </row>
    <row r="11" spans="1:19" hidden="1">
      <c r="A11" s="3">
        <v>5</v>
      </c>
      <c r="B11" s="3" t="s">
        <v>122</v>
      </c>
      <c r="C11" s="3" t="s">
        <v>24</v>
      </c>
      <c r="D11" s="3" t="s">
        <v>98</v>
      </c>
      <c r="E11" s="22">
        <f t="shared" si="0"/>
        <v>3100000</v>
      </c>
      <c r="F11" s="28" t="s">
        <v>211</v>
      </c>
      <c r="G11" s="28">
        <v>1</v>
      </c>
      <c r="H11" s="22">
        <f>SUMIFS(Sheet2!$C$1:$C$81,Sheet2!$A$1:$A$81,BLuong!F11,Sheet2!$B$1:$B$81,BLuong!G11)</f>
        <v>5617.5</v>
      </c>
      <c r="I11" s="22">
        <v>26</v>
      </c>
      <c r="J11" s="22"/>
      <c r="K11" s="22"/>
      <c r="L11" s="22"/>
      <c r="M11" s="22"/>
      <c r="N11" s="22"/>
      <c r="O11" s="22"/>
      <c r="P11" s="106"/>
      <c r="Q11" s="3"/>
      <c r="R11" s="3"/>
      <c r="S11" s="3"/>
    </row>
    <row r="12" spans="1:19" hidden="1">
      <c r="A12" s="3">
        <v>6</v>
      </c>
      <c r="B12" s="3" t="s">
        <v>123</v>
      </c>
      <c r="C12" s="3" t="s">
        <v>25</v>
      </c>
      <c r="D12" s="3" t="s">
        <v>99</v>
      </c>
      <c r="E12" s="22">
        <f t="shared" si="0"/>
        <v>3100000</v>
      </c>
      <c r="F12" s="28" t="s">
        <v>211</v>
      </c>
      <c r="G12" s="28">
        <v>1</v>
      </c>
      <c r="H12" s="22">
        <f>SUMIFS(Sheet2!$C$1:$C$81,Sheet2!$A$1:$A$81,BLuong!F12,Sheet2!$B$1:$B$81,BLuong!G12)</f>
        <v>5617.5</v>
      </c>
      <c r="I12" s="22">
        <v>26</v>
      </c>
      <c r="J12" s="22"/>
      <c r="K12" s="22"/>
      <c r="L12" s="22"/>
      <c r="M12" s="22"/>
      <c r="N12" s="22"/>
      <c r="O12" s="22"/>
      <c r="P12" s="106"/>
      <c r="Q12" s="3"/>
      <c r="R12" s="3"/>
      <c r="S12" s="3"/>
    </row>
    <row r="13" spans="1:19" hidden="1">
      <c r="A13" s="3">
        <v>7</v>
      </c>
      <c r="B13" s="3" t="s">
        <v>124</v>
      </c>
      <c r="C13" s="3" t="s">
        <v>26</v>
      </c>
      <c r="D13" s="3" t="s">
        <v>99</v>
      </c>
      <c r="E13" s="22">
        <f t="shared" si="0"/>
        <v>3100000</v>
      </c>
      <c r="F13" s="28" t="s">
        <v>211</v>
      </c>
      <c r="G13" s="28">
        <v>1</v>
      </c>
      <c r="H13" s="22">
        <f>SUMIFS(Sheet2!$C$1:$C$81,Sheet2!$A$1:$A$81,BLuong!F13,Sheet2!$B$1:$B$81,BLuong!G13)</f>
        <v>5617.5</v>
      </c>
      <c r="I13" s="22">
        <v>26</v>
      </c>
      <c r="J13" s="22"/>
      <c r="K13" s="22"/>
      <c r="L13" s="22"/>
      <c r="M13" s="22"/>
      <c r="N13" s="22"/>
      <c r="O13" s="22"/>
      <c r="P13" s="106"/>
      <c r="Q13" s="3"/>
      <c r="R13" s="3"/>
      <c r="S13" s="3"/>
    </row>
    <row r="14" spans="1:19" hidden="1">
      <c r="A14" s="3">
        <v>8</v>
      </c>
      <c r="B14" s="3" t="s">
        <v>125</v>
      </c>
      <c r="C14" s="3" t="s">
        <v>27</v>
      </c>
      <c r="D14" s="3" t="s">
        <v>100</v>
      </c>
      <c r="E14" s="22">
        <f t="shared" si="0"/>
        <v>3100000</v>
      </c>
      <c r="F14" s="28" t="s">
        <v>211</v>
      </c>
      <c r="G14" s="28">
        <v>1</v>
      </c>
      <c r="H14" s="22">
        <f>SUMIFS(Sheet2!$C$1:$C$81,Sheet2!$A$1:$A$81,BLuong!F14,Sheet2!$B$1:$B$81,BLuong!G14)</f>
        <v>5617.5</v>
      </c>
      <c r="I14" s="22">
        <v>26</v>
      </c>
      <c r="J14" s="22"/>
      <c r="K14" s="22"/>
      <c r="L14" s="22"/>
      <c r="M14" s="22"/>
      <c r="N14" s="22"/>
      <c r="O14" s="22"/>
      <c r="P14" s="106"/>
      <c r="Q14" s="3"/>
      <c r="R14" s="3"/>
      <c r="S14" s="3"/>
    </row>
    <row r="15" spans="1:19" hidden="1">
      <c r="A15" s="3">
        <v>9</v>
      </c>
      <c r="B15" s="3" t="s">
        <v>126</v>
      </c>
      <c r="C15" s="3" t="s">
        <v>28</v>
      </c>
      <c r="D15" s="3" t="s">
        <v>101</v>
      </c>
      <c r="E15" s="22">
        <f t="shared" si="0"/>
        <v>3100000</v>
      </c>
      <c r="F15" s="28" t="s">
        <v>210</v>
      </c>
      <c r="G15" s="28">
        <v>1</v>
      </c>
      <c r="H15" s="22">
        <f>SUMIFS(Sheet2!$C$1:$C$81,Sheet2!$A$1:$A$81,BLuong!F15,Sheet2!$B$1:$B$81,BLuong!G15)</f>
        <v>6366.5</v>
      </c>
      <c r="I15" s="22">
        <v>26</v>
      </c>
      <c r="J15" s="22"/>
      <c r="K15" s="22"/>
      <c r="L15" s="22"/>
      <c r="M15" s="22"/>
      <c r="N15" s="22"/>
      <c r="O15" s="22"/>
      <c r="P15" s="106"/>
      <c r="Q15" s="3"/>
      <c r="R15" s="3"/>
      <c r="S15" s="3"/>
    </row>
    <row r="16" spans="1:19" s="2" customFormat="1" hidden="1">
      <c r="A16" s="23" t="s">
        <v>8</v>
      </c>
      <c r="B16" s="23"/>
      <c r="C16" s="23" t="s">
        <v>9</v>
      </c>
      <c r="D16" s="23"/>
      <c r="E16" s="25">
        <f t="shared" si="0"/>
        <v>3100000</v>
      </c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23"/>
      <c r="R16" s="23"/>
      <c r="S16" s="23"/>
    </row>
    <row r="17" spans="1:19" ht="22.8" hidden="1">
      <c r="A17" s="3">
        <v>10</v>
      </c>
      <c r="B17" s="3" t="s">
        <v>127</v>
      </c>
      <c r="C17" s="3" t="s">
        <v>29</v>
      </c>
      <c r="D17" s="3" t="s">
        <v>102</v>
      </c>
      <c r="E17" s="22">
        <f t="shared" si="0"/>
        <v>3100000</v>
      </c>
      <c r="F17" s="28" t="s">
        <v>210</v>
      </c>
      <c r="G17" s="28">
        <v>1</v>
      </c>
      <c r="H17" s="22">
        <f>SUMIFS(Sheet2!$C$1:$C$81,Sheet2!$A$1:$A$81,BLuong!F17,Sheet2!$B$1:$B$81,BLuong!G17)</f>
        <v>6366.5</v>
      </c>
      <c r="I17" s="22">
        <v>26</v>
      </c>
      <c r="J17" s="22"/>
      <c r="K17" s="22"/>
      <c r="L17" s="22"/>
      <c r="M17" s="22"/>
      <c r="N17" s="22"/>
      <c r="O17" s="22"/>
      <c r="P17" s="106"/>
      <c r="Q17" s="3"/>
      <c r="R17" s="3"/>
      <c r="S17" s="3"/>
    </row>
    <row r="18" spans="1:19" hidden="1">
      <c r="A18" s="3">
        <v>11</v>
      </c>
      <c r="B18" s="3" t="s">
        <v>128</v>
      </c>
      <c r="C18" s="3" t="s">
        <v>37</v>
      </c>
      <c r="D18" s="3" t="s">
        <v>103</v>
      </c>
      <c r="E18" s="22">
        <f t="shared" si="0"/>
        <v>3100000</v>
      </c>
      <c r="F18" s="28" t="s">
        <v>211</v>
      </c>
      <c r="G18" s="28">
        <v>1</v>
      </c>
      <c r="H18" s="22">
        <f>SUMIFS(Sheet2!$C$1:$C$81,Sheet2!$A$1:$A$81,BLuong!F18,Sheet2!$B$1:$B$81,BLuong!G18)</f>
        <v>5617.5</v>
      </c>
      <c r="I18" s="22">
        <v>26</v>
      </c>
      <c r="J18" s="22"/>
      <c r="K18" s="22"/>
      <c r="L18" s="22"/>
      <c r="M18" s="22"/>
      <c r="N18" s="22"/>
      <c r="O18" s="22"/>
      <c r="P18" s="106"/>
      <c r="Q18" s="3"/>
      <c r="R18" s="3"/>
      <c r="S18" s="3"/>
    </row>
    <row r="19" spans="1:19" hidden="1">
      <c r="A19" s="3">
        <v>12</v>
      </c>
      <c r="B19" s="3" t="s">
        <v>129</v>
      </c>
      <c r="C19" s="3" t="s">
        <v>30</v>
      </c>
      <c r="D19" s="3" t="s">
        <v>104</v>
      </c>
      <c r="E19" s="22">
        <f t="shared" si="0"/>
        <v>3100000</v>
      </c>
      <c r="F19" s="28" t="s">
        <v>234</v>
      </c>
      <c r="G19" s="28">
        <v>1</v>
      </c>
      <c r="H19" s="22">
        <f>SUMIFS(Sheet2!$C$1:$C$81,Sheet2!$A$1:$A$81,BLuong!F19,Sheet2!$B$1:$B$81,BLuong!G19)</f>
        <v>3745</v>
      </c>
      <c r="I19" s="22">
        <v>26</v>
      </c>
      <c r="J19" s="22"/>
      <c r="K19" s="22"/>
      <c r="L19" s="22"/>
      <c r="M19" s="22"/>
      <c r="N19" s="22"/>
      <c r="O19" s="22"/>
      <c r="P19" s="106"/>
      <c r="Q19" s="3"/>
      <c r="R19" s="3"/>
      <c r="S19" s="3"/>
    </row>
    <row r="20" spans="1:19" hidden="1">
      <c r="A20" s="3">
        <v>13</v>
      </c>
      <c r="B20" s="3" t="s">
        <v>130</v>
      </c>
      <c r="C20" s="3" t="s">
        <v>31</v>
      </c>
      <c r="D20" s="3" t="s">
        <v>104</v>
      </c>
      <c r="E20" s="22">
        <f t="shared" si="0"/>
        <v>3100000</v>
      </c>
      <c r="F20" s="28" t="s">
        <v>234</v>
      </c>
      <c r="G20" s="28">
        <v>1</v>
      </c>
      <c r="H20" s="22">
        <f>SUMIFS(Sheet2!$C$1:$C$81,Sheet2!$A$1:$A$81,BLuong!F20,Sheet2!$B$1:$B$81,BLuong!G20)</f>
        <v>3745</v>
      </c>
      <c r="I20" s="22">
        <v>26</v>
      </c>
      <c r="J20" s="22"/>
      <c r="K20" s="22"/>
      <c r="L20" s="22"/>
      <c r="M20" s="22"/>
      <c r="N20" s="22"/>
      <c r="O20" s="22"/>
      <c r="P20" s="106"/>
      <c r="Q20" s="3"/>
      <c r="R20" s="3"/>
      <c r="S20" s="3"/>
    </row>
    <row r="21" spans="1:19" hidden="1">
      <c r="A21" s="3">
        <v>14</v>
      </c>
      <c r="B21" s="3" t="s">
        <v>131</v>
      </c>
      <c r="C21" s="3" t="s">
        <v>32</v>
      </c>
      <c r="D21" s="3" t="s">
        <v>104</v>
      </c>
      <c r="E21" s="22">
        <f t="shared" si="0"/>
        <v>3100000</v>
      </c>
      <c r="F21" s="28" t="s">
        <v>234</v>
      </c>
      <c r="G21" s="28">
        <v>1</v>
      </c>
      <c r="H21" s="22">
        <f>SUMIFS(Sheet2!$C$1:$C$81,Sheet2!$A$1:$A$81,BLuong!F21,Sheet2!$B$1:$B$81,BLuong!G21)</f>
        <v>3745</v>
      </c>
      <c r="I21" s="22">
        <v>26</v>
      </c>
      <c r="J21" s="22"/>
      <c r="K21" s="22"/>
      <c r="L21" s="22"/>
      <c r="M21" s="22"/>
      <c r="N21" s="22"/>
      <c r="O21" s="22"/>
      <c r="P21" s="106"/>
      <c r="Q21" s="3"/>
      <c r="R21" s="3"/>
      <c r="S21" s="3"/>
    </row>
    <row r="22" spans="1:19" hidden="1">
      <c r="A22" s="3">
        <v>15</v>
      </c>
      <c r="B22" s="3" t="s">
        <v>132</v>
      </c>
      <c r="C22" s="3" t="s">
        <v>33</v>
      </c>
      <c r="D22" s="3" t="s">
        <v>104</v>
      </c>
      <c r="E22" s="22">
        <f t="shared" si="0"/>
        <v>3100000</v>
      </c>
      <c r="F22" s="28" t="s">
        <v>234</v>
      </c>
      <c r="G22" s="28">
        <v>1</v>
      </c>
      <c r="H22" s="22">
        <f>SUMIFS(Sheet2!$C$1:$C$81,Sheet2!$A$1:$A$81,BLuong!F22,Sheet2!$B$1:$B$81,BLuong!G22)</f>
        <v>3745</v>
      </c>
      <c r="I22" s="22">
        <v>26</v>
      </c>
      <c r="J22" s="22"/>
      <c r="K22" s="22"/>
      <c r="L22" s="22"/>
      <c r="M22" s="22"/>
      <c r="N22" s="22"/>
      <c r="O22" s="22"/>
      <c r="P22" s="106"/>
      <c r="Q22" s="3"/>
      <c r="R22" s="3"/>
      <c r="S22" s="3"/>
    </row>
    <row r="23" spans="1:19" s="2" customFormat="1" ht="22.8" hidden="1">
      <c r="A23" s="23" t="s">
        <v>12</v>
      </c>
      <c r="B23" s="23"/>
      <c r="C23" s="23" t="s">
        <v>13</v>
      </c>
      <c r="D23" s="23"/>
      <c r="E23" s="25">
        <f t="shared" si="0"/>
        <v>3100000</v>
      </c>
      <c r="F23" s="29"/>
      <c r="G23" s="29"/>
      <c r="H23" s="34"/>
      <c r="I23" s="34"/>
      <c r="J23" s="34"/>
      <c r="K23" s="34"/>
      <c r="L23" s="34"/>
      <c r="M23" s="34"/>
      <c r="N23" s="34"/>
      <c r="O23" s="34"/>
      <c r="P23" s="34"/>
      <c r="Q23" s="23"/>
      <c r="R23" s="23"/>
      <c r="S23" s="23"/>
    </row>
    <row r="24" spans="1:19" hidden="1">
      <c r="A24" s="3">
        <v>16</v>
      </c>
      <c r="B24" s="3" t="s">
        <v>133</v>
      </c>
      <c r="C24" s="3" t="s">
        <v>34</v>
      </c>
      <c r="D24" s="3" t="s">
        <v>117</v>
      </c>
      <c r="E24" s="22">
        <f t="shared" si="0"/>
        <v>3100000</v>
      </c>
      <c r="F24" s="28" t="s">
        <v>211</v>
      </c>
      <c r="G24" s="28">
        <v>1</v>
      </c>
      <c r="H24" s="22">
        <f>SUMIFS(Sheet2!$C$1:$C$81,Sheet2!$A$1:$A$81,BLuong!F24,Sheet2!$B$1:$B$81,BLuong!G24)</f>
        <v>5617.5</v>
      </c>
      <c r="I24" s="22">
        <v>26</v>
      </c>
      <c r="J24" s="22"/>
      <c r="K24" s="22"/>
      <c r="L24" s="22"/>
      <c r="M24" s="22"/>
      <c r="N24" s="22"/>
      <c r="O24" s="22"/>
      <c r="P24" s="106"/>
      <c r="Q24" s="3"/>
      <c r="R24" s="3"/>
      <c r="S24" s="3"/>
    </row>
    <row r="25" spans="1:19" hidden="1">
      <c r="A25" s="3">
        <v>17</v>
      </c>
      <c r="B25" s="3" t="s">
        <v>134</v>
      </c>
      <c r="C25" s="3" t="s">
        <v>35</v>
      </c>
      <c r="D25" s="3" t="s">
        <v>117</v>
      </c>
      <c r="E25" s="22">
        <f t="shared" si="0"/>
        <v>3100000</v>
      </c>
      <c r="F25" s="28" t="s">
        <v>211</v>
      </c>
      <c r="G25" s="28">
        <v>1</v>
      </c>
      <c r="H25" s="22">
        <f>SUMIFS(Sheet2!$C$1:$C$81,Sheet2!$A$1:$A$81,BLuong!F25,Sheet2!$B$1:$B$81,BLuong!G25)</f>
        <v>5617.5</v>
      </c>
      <c r="I25" s="22">
        <v>26</v>
      </c>
      <c r="J25" s="22"/>
      <c r="K25" s="22"/>
      <c r="L25" s="22"/>
      <c r="M25" s="22"/>
      <c r="N25" s="22"/>
      <c r="O25" s="22"/>
      <c r="P25" s="106"/>
      <c r="Q25" s="3"/>
      <c r="R25" s="3"/>
      <c r="S25" s="3"/>
    </row>
    <row r="26" spans="1:19" hidden="1">
      <c r="A26" s="3">
        <v>18</v>
      </c>
      <c r="B26" s="3" t="s">
        <v>135</v>
      </c>
      <c r="C26" s="3" t="s">
        <v>36</v>
      </c>
      <c r="D26" s="3" t="s">
        <v>117</v>
      </c>
      <c r="E26" s="22">
        <f t="shared" si="0"/>
        <v>3100000</v>
      </c>
      <c r="F26" s="28" t="s">
        <v>211</v>
      </c>
      <c r="G26" s="28">
        <v>1</v>
      </c>
      <c r="H26" s="22">
        <f>SUMIFS(Sheet2!$C$1:$C$81,Sheet2!$A$1:$A$81,BLuong!F26,Sheet2!$B$1:$B$81,BLuong!G26)</f>
        <v>5617.5</v>
      </c>
      <c r="I26" s="22">
        <v>26</v>
      </c>
      <c r="J26" s="22"/>
      <c r="K26" s="22"/>
      <c r="L26" s="22"/>
      <c r="M26" s="22"/>
      <c r="N26" s="22"/>
      <c r="O26" s="22"/>
      <c r="P26" s="106"/>
      <c r="Q26" s="3"/>
      <c r="R26" s="3"/>
      <c r="S26" s="3"/>
    </row>
    <row r="27" spans="1:19" s="2" customFormat="1" hidden="1">
      <c r="A27" s="23" t="s">
        <v>10</v>
      </c>
      <c r="B27" s="23"/>
      <c r="C27" s="23" t="s">
        <v>11</v>
      </c>
      <c r="D27" s="23"/>
      <c r="E27" s="25">
        <f t="shared" si="0"/>
        <v>3100000</v>
      </c>
      <c r="F27" s="29"/>
      <c r="G27" s="29"/>
      <c r="H27" s="34"/>
      <c r="I27" s="34"/>
      <c r="J27" s="34"/>
      <c r="K27" s="34"/>
      <c r="L27" s="34"/>
      <c r="M27" s="34"/>
      <c r="N27" s="34"/>
      <c r="O27" s="34"/>
      <c r="P27" s="34"/>
      <c r="Q27" s="23"/>
      <c r="R27" s="23"/>
      <c r="S27" s="23"/>
    </row>
    <row r="28" spans="1:19" ht="22.8" hidden="1">
      <c r="A28" s="3">
        <v>19</v>
      </c>
      <c r="B28" s="3" t="s">
        <v>136</v>
      </c>
      <c r="C28" s="3" t="s">
        <v>38</v>
      </c>
      <c r="D28" s="3" t="s">
        <v>105</v>
      </c>
      <c r="E28" s="22">
        <f t="shared" si="0"/>
        <v>3100000</v>
      </c>
      <c r="F28" s="28" t="s">
        <v>208</v>
      </c>
      <c r="G28" s="28">
        <v>1</v>
      </c>
      <c r="H28" s="22">
        <f>SUMIFS(Sheet2!$C$1:$C$81,Sheet2!$A$1:$A$81,BLuong!F28,Sheet2!$B$1:$B$81,BLuong!G28)</f>
        <v>7490</v>
      </c>
      <c r="I28" s="22">
        <v>26</v>
      </c>
      <c r="J28" s="22"/>
      <c r="K28" s="22"/>
      <c r="L28" s="22"/>
      <c r="M28" s="22"/>
      <c r="N28" s="22"/>
      <c r="O28" s="22"/>
      <c r="P28" s="106"/>
      <c r="Q28" s="3"/>
      <c r="R28" s="3"/>
      <c r="S28" s="3"/>
    </row>
    <row r="29" spans="1:19" hidden="1">
      <c r="A29" s="3">
        <v>20</v>
      </c>
      <c r="B29" s="3" t="s">
        <v>137</v>
      </c>
      <c r="C29" s="3" t="s">
        <v>39</v>
      </c>
      <c r="D29" s="3" t="s">
        <v>106</v>
      </c>
      <c r="E29" s="22">
        <f t="shared" si="0"/>
        <v>3100000</v>
      </c>
      <c r="F29" s="28" t="s">
        <v>234</v>
      </c>
      <c r="G29" s="28">
        <v>1</v>
      </c>
      <c r="H29" s="22">
        <f>SUMIFS(Sheet2!$C$1:$C$81,Sheet2!$A$1:$A$81,BLuong!F29,Sheet2!$B$1:$B$81,BLuong!G29)</f>
        <v>3745</v>
      </c>
      <c r="I29" s="22">
        <v>26</v>
      </c>
      <c r="J29" s="22"/>
      <c r="K29" s="22"/>
      <c r="L29" s="22"/>
      <c r="M29" s="22"/>
      <c r="N29" s="22"/>
      <c r="O29" s="22"/>
      <c r="P29" s="106"/>
      <c r="Q29" s="3"/>
      <c r="R29" s="3"/>
      <c r="S29" s="3"/>
    </row>
    <row r="30" spans="1:19" hidden="1">
      <c r="A30" s="3">
        <v>21</v>
      </c>
      <c r="B30" s="3" t="s">
        <v>138</v>
      </c>
      <c r="C30" s="3" t="s">
        <v>107</v>
      </c>
      <c r="D30" s="3" t="s">
        <v>108</v>
      </c>
      <c r="E30" s="22">
        <f t="shared" si="0"/>
        <v>3100000</v>
      </c>
      <c r="F30" s="28" t="s">
        <v>210</v>
      </c>
      <c r="G30" s="28">
        <v>1</v>
      </c>
      <c r="H30" s="22">
        <f>SUMIFS(Sheet2!$C$1:$C$81,Sheet2!$A$1:$A$81,BLuong!F30,Sheet2!$B$1:$B$81,BLuong!G30)</f>
        <v>6366.5</v>
      </c>
      <c r="I30" s="22">
        <v>26</v>
      </c>
      <c r="J30" s="22"/>
      <c r="K30" s="22"/>
      <c r="L30" s="22"/>
      <c r="M30" s="22"/>
      <c r="N30" s="22"/>
      <c r="O30" s="22"/>
      <c r="P30" s="106"/>
      <c r="Q30" s="3"/>
      <c r="R30" s="3"/>
      <c r="S30" s="3"/>
    </row>
    <row r="31" spans="1:19" hidden="1">
      <c r="A31" s="3">
        <v>22</v>
      </c>
      <c r="B31" s="3" t="s">
        <v>139</v>
      </c>
      <c r="C31" s="3" t="s">
        <v>40</v>
      </c>
      <c r="D31" s="3" t="s">
        <v>109</v>
      </c>
      <c r="E31" s="22">
        <f t="shared" si="0"/>
        <v>3100000</v>
      </c>
      <c r="F31" s="28" t="s">
        <v>233</v>
      </c>
      <c r="G31" s="28">
        <v>1</v>
      </c>
      <c r="H31" s="22">
        <f>SUMIFS(Sheet2!$C$1:$C$81,Sheet2!$A$1:$A$81,BLuong!F31,Sheet2!$B$1:$B$81,BLuong!G31)</f>
        <v>3745</v>
      </c>
      <c r="I31" s="22">
        <v>26</v>
      </c>
      <c r="J31" s="22"/>
      <c r="K31" s="22"/>
      <c r="L31" s="22"/>
      <c r="M31" s="22"/>
      <c r="N31" s="22"/>
      <c r="O31" s="22"/>
      <c r="P31" s="106"/>
      <c r="Q31" s="3"/>
      <c r="R31" s="3"/>
      <c r="S31" s="3"/>
    </row>
    <row r="32" spans="1:19" hidden="1">
      <c r="A32" s="3">
        <v>23</v>
      </c>
      <c r="B32" s="3" t="s">
        <v>140</v>
      </c>
      <c r="C32" s="3" t="s">
        <v>41</v>
      </c>
      <c r="D32" s="3" t="s">
        <v>109</v>
      </c>
      <c r="E32" s="22">
        <f t="shared" si="0"/>
        <v>3100000</v>
      </c>
      <c r="F32" s="28" t="s">
        <v>233</v>
      </c>
      <c r="G32" s="28">
        <v>1</v>
      </c>
      <c r="H32" s="22">
        <f>SUMIFS(Sheet2!$C$1:$C$81,Sheet2!$A$1:$A$81,BLuong!F32,Sheet2!$B$1:$B$81,BLuong!G32)</f>
        <v>3745</v>
      </c>
      <c r="I32" s="22">
        <v>26</v>
      </c>
      <c r="J32" s="22"/>
      <c r="K32" s="22"/>
      <c r="L32" s="22"/>
      <c r="M32" s="22"/>
      <c r="N32" s="22"/>
      <c r="O32" s="22"/>
      <c r="P32" s="106"/>
      <c r="Q32" s="3"/>
      <c r="R32" s="3"/>
      <c r="S32" s="3"/>
    </row>
    <row r="33" spans="1:19" hidden="1">
      <c r="A33" s="3">
        <v>24</v>
      </c>
      <c r="B33" s="3" t="s">
        <v>141</v>
      </c>
      <c r="C33" s="3" t="s">
        <v>42</v>
      </c>
      <c r="D33" s="3" t="s">
        <v>109</v>
      </c>
      <c r="E33" s="22">
        <f t="shared" si="0"/>
        <v>3100000</v>
      </c>
      <c r="F33" s="28" t="s">
        <v>233</v>
      </c>
      <c r="G33" s="28">
        <v>1</v>
      </c>
      <c r="H33" s="22">
        <f>SUMIFS(Sheet2!$C$1:$C$81,Sheet2!$A$1:$A$81,BLuong!F33,Sheet2!$B$1:$B$81,BLuong!G33)</f>
        <v>3745</v>
      </c>
      <c r="I33" s="22">
        <v>26</v>
      </c>
      <c r="J33" s="22"/>
      <c r="K33" s="22"/>
      <c r="L33" s="22"/>
      <c r="M33" s="22"/>
      <c r="N33" s="22"/>
      <c r="O33" s="22"/>
      <c r="P33" s="106"/>
      <c r="Q33" s="3"/>
      <c r="R33" s="3"/>
      <c r="S33" s="3"/>
    </row>
    <row r="34" spans="1:19" hidden="1">
      <c r="A34" s="3">
        <v>25</v>
      </c>
      <c r="B34" s="3" t="s">
        <v>142</v>
      </c>
      <c r="C34" s="3" t="s">
        <v>43</v>
      </c>
      <c r="D34" s="3" t="s">
        <v>109</v>
      </c>
      <c r="E34" s="22">
        <f t="shared" si="0"/>
        <v>3100000</v>
      </c>
      <c r="F34" s="28" t="s">
        <v>233</v>
      </c>
      <c r="G34" s="28">
        <v>1</v>
      </c>
      <c r="H34" s="22">
        <f>SUMIFS(Sheet2!$C$1:$C$81,Sheet2!$A$1:$A$81,BLuong!F34,Sheet2!$B$1:$B$81,BLuong!G34)</f>
        <v>3745</v>
      </c>
      <c r="I34" s="22">
        <v>26</v>
      </c>
      <c r="J34" s="22"/>
      <c r="K34" s="22"/>
      <c r="L34" s="22"/>
      <c r="M34" s="22"/>
      <c r="N34" s="22"/>
      <c r="O34" s="22"/>
      <c r="P34" s="106"/>
      <c r="Q34" s="3"/>
      <c r="R34" s="3"/>
      <c r="S34" s="3"/>
    </row>
    <row r="35" spans="1:19" hidden="1">
      <c r="A35" s="3">
        <v>26</v>
      </c>
      <c r="B35" s="3" t="s">
        <v>143</v>
      </c>
      <c r="C35" s="3" t="s">
        <v>110</v>
      </c>
      <c r="D35" s="3" t="s">
        <v>113</v>
      </c>
      <c r="E35" s="22">
        <f t="shared" si="0"/>
        <v>3100000</v>
      </c>
      <c r="F35" s="28" t="s">
        <v>210</v>
      </c>
      <c r="G35" s="28">
        <v>1</v>
      </c>
      <c r="H35" s="22">
        <f>SUMIFS(Sheet2!$C$1:$C$81,Sheet2!$A$1:$A$81,BLuong!F35,Sheet2!$B$1:$B$81,BLuong!G35)</f>
        <v>6366.5</v>
      </c>
      <c r="I35" s="22">
        <v>26</v>
      </c>
      <c r="J35" s="22"/>
      <c r="K35" s="22"/>
      <c r="L35" s="22"/>
      <c r="M35" s="22"/>
      <c r="N35" s="22"/>
      <c r="O35" s="22"/>
      <c r="P35" s="106"/>
      <c r="Q35" s="3"/>
      <c r="R35" s="3"/>
      <c r="S35" s="3"/>
    </row>
    <row r="36" spans="1:19" hidden="1">
      <c r="A36" s="3">
        <v>27</v>
      </c>
      <c r="B36" s="3" t="s">
        <v>144</v>
      </c>
      <c r="C36" s="3" t="s">
        <v>44</v>
      </c>
      <c r="D36" s="3" t="s">
        <v>114</v>
      </c>
      <c r="E36" s="22">
        <f t="shared" si="0"/>
        <v>3100000</v>
      </c>
      <c r="F36" s="28" t="s">
        <v>233</v>
      </c>
      <c r="G36" s="28">
        <v>1</v>
      </c>
      <c r="H36" s="22">
        <f>SUMIFS(Sheet2!$C$1:$C$81,Sheet2!$A$1:$A$81,BLuong!F36,Sheet2!$B$1:$B$81,BLuong!G36)</f>
        <v>3745</v>
      </c>
      <c r="I36" s="22">
        <v>26</v>
      </c>
      <c r="J36" s="22"/>
      <c r="K36" s="22"/>
      <c r="L36" s="22"/>
      <c r="M36" s="22"/>
      <c r="N36" s="22"/>
      <c r="O36" s="22"/>
      <c r="P36" s="106"/>
      <c r="Q36" s="3"/>
      <c r="R36" s="3"/>
      <c r="S36" s="3"/>
    </row>
    <row r="37" spans="1:19" hidden="1">
      <c r="A37" s="3">
        <v>28</v>
      </c>
      <c r="B37" s="3" t="s">
        <v>145</v>
      </c>
      <c r="C37" s="3" t="s">
        <v>45</v>
      </c>
      <c r="D37" s="3" t="s">
        <v>114</v>
      </c>
      <c r="E37" s="22">
        <f t="shared" si="0"/>
        <v>3100000</v>
      </c>
      <c r="F37" s="28" t="s">
        <v>212</v>
      </c>
      <c r="G37" s="28">
        <v>1</v>
      </c>
      <c r="H37" s="22">
        <f>SUMIFS(Sheet2!$C$1:$C$81,Sheet2!$A$1:$A$81,BLuong!F37,Sheet2!$B$1:$B$81,BLuong!G37)</f>
        <v>3745</v>
      </c>
      <c r="I37" s="22">
        <v>26</v>
      </c>
      <c r="J37" s="22"/>
      <c r="K37" s="22"/>
      <c r="L37" s="22"/>
      <c r="M37" s="22"/>
      <c r="N37" s="22"/>
      <c r="O37" s="22"/>
      <c r="P37" s="106"/>
      <c r="Q37" s="3"/>
      <c r="R37" s="3"/>
      <c r="S37" s="3"/>
    </row>
    <row r="38" spans="1:19" hidden="1">
      <c r="A38" s="3">
        <v>29</v>
      </c>
      <c r="B38" s="3" t="s">
        <v>146</v>
      </c>
      <c r="C38" s="3" t="s">
        <v>46</v>
      </c>
      <c r="D38" s="3" t="s">
        <v>114</v>
      </c>
      <c r="E38" s="22">
        <f t="shared" si="0"/>
        <v>3100000</v>
      </c>
      <c r="F38" s="28" t="s">
        <v>212</v>
      </c>
      <c r="G38" s="28">
        <v>1</v>
      </c>
      <c r="H38" s="22">
        <f>SUMIFS(Sheet2!$C$1:$C$81,Sheet2!$A$1:$A$81,BLuong!F38,Sheet2!$B$1:$B$81,BLuong!G38)</f>
        <v>3745</v>
      </c>
      <c r="I38" s="22">
        <v>26</v>
      </c>
      <c r="J38" s="22"/>
      <c r="K38" s="22"/>
      <c r="L38" s="22"/>
      <c r="M38" s="22"/>
      <c r="N38" s="22"/>
      <c r="O38" s="22"/>
      <c r="P38" s="106"/>
      <c r="Q38" s="3"/>
      <c r="R38" s="3"/>
      <c r="S38" s="3"/>
    </row>
    <row r="39" spans="1:19" hidden="1">
      <c r="A39" s="3">
        <v>30</v>
      </c>
      <c r="B39" s="3" t="s">
        <v>147</v>
      </c>
      <c r="C39" s="3" t="s">
        <v>47</v>
      </c>
      <c r="D39" s="3" t="s">
        <v>114</v>
      </c>
      <c r="E39" s="22">
        <f t="shared" si="0"/>
        <v>3100000</v>
      </c>
      <c r="F39" s="28" t="s">
        <v>212</v>
      </c>
      <c r="G39" s="28">
        <v>1</v>
      </c>
      <c r="H39" s="22">
        <f>SUMIFS(Sheet2!$C$1:$C$81,Sheet2!$A$1:$A$81,BLuong!F39,Sheet2!$B$1:$B$81,BLuong!G39)</f>
        <v>3745</v>
      </c>
      <c r="I39" s="22">
        <v>26</v>
      </c>
      <c r="J39" s="22"/>
      <c r="K39" s="22"/>
      <c r="L39" s="22"/>
      <c r="M39" s="22"/>
      <c r="N39" s="22"/>
      <c r="O39" s="22"/>
      <c r="P39" s="106"/>
      <c r="Q39" s="3"/>
      <c r="R39" s="3"/>
      <c r="S39" s="3"/>
    </row>
    <row r="40" spans="1:19" hidden="1">
      <c r="A40" s="3">
        <v>31</v>
      </c>
      <c r="B40" s="3" t="s">
        <v>148</v>
      </c>
      <c r="C40" s="3" t="s">
        <v>48</v>
      </c>
      <c r="D40" s="3" t="s">
        <v>114</v>
      </c>
      <c r="E40" s="22">
        <f t="shared" si="0"/>
        <v>3100000</v>
      </c>
      <c r="F40" s="28" t="s">
        <v>212</v>
      </c>
      <c r="G40" s="28">
        <v>1</v>
      </c>
      <c r="H40" s="22">
        <f>SUMIFS(Sheet2!$C$1:$C$81,Sheet2!$A$1:$A$81,BLuong!F40,Sheet2!$B$1:$B$81,BLuong!G40)</f>
        <v>3745</v>
      </c>
      <c r="I40" s="22">
        <v>26</v>
      </c>
      <c r="J40" s="22"/>
      <c r="K40" s="22"/>
      <c r="L40" s="22"/>
      <c r="M40" s="22"/>
      <c r="N40" s="22"/>
      <c r="O40" s="22"/>
      <c r="P40" s="106"/>
      <c r="Q40" s="3"/>
      <c r="R40" s="3"/>
      <c r="S40" s="3"/>
    </row>
    <row r="41" spans="1:19" hidden="1">
      <c r="A41" s="3">
        <v>32</v>
      </c>
      <c r="B41" s="3" t="s">
        <v>149</v>
      </c>
      <c r="C41" s="3" t="s">
        <v>111</v>
      </c>
      <c r="D41" s="3" t="s">
        <v>112</v>
      </c>
      <c r="E41" s="22">
        <f t="shared" si="0"/>
        <v>3100000</v>
      </c>
      <c r="F41" s="28" t="s">
        <v>210</v>
      </c>
      <c r="G41" s="28">
        <v>1</v>
      </c>
      <c r="H41" s="22">
        <f>SUMIFS(Sheet2!$C$1:$C$81,Sheet2!$A$1:$A$81,BLuong!F41,Sheet2!$B$1:$B$81,BLuong!G41)</f>
        <v>6366.5</v>
      </c>
      <c r="I41" s="22">
        <v>26</v>
      </c>
      <c r="J41" s="22"/>
      <c r="K41" s="22"/>
      <c r="L41" s="22"/>
      <c r="M41" s="22"/>
      <c r="N41" s="22"/>
      <c r="O41" s="22"/>
      <c r="P41" s="106"/>
      <c r="Q41" s="3"/>
      <c r="R41" s="3"/>
      <c r="S41" s="3"/>
    </row>
    <row r="42" spans="1:19" hidden="1">
      <c r="A42" s="3">
        <v>33</v>
      </c>
      <c r="B42" s="3" t="s">
        <v>150</v>
      </c>
      <c r="C42" s="3" t="s">
        <v>49</v>
      </c>
      <c r="D42" s="3" t="s">
        <v>115</v>
      </c>
      <c r="E42" s="22">
        <f t="shared" si="0"/>
        <v>3100000</v>
      </c>
      <c r="F42" s="28" t="s">
        <v>235</v>
      </c>
      <c r="G42" s="28">
        <v>1</v>
      </c>
      <c r="H42" s="22">
        <f>SUMIFS(Sheet2!$C$1:$C$81,Sheet2!$A$1:$A$81,BLuong!F42,Sheet2!$B$1:$B$81,BLuong!G42)</f>
        <v>3745</v>
      </c>
      <c r="I42" s="22">
        <v>26</v>
      </c>
      <c r="J42" s="22"/>
      <c r="K42" s="22"/>
      <c r="L42" s="22"/>
      <c r="M42" s="22"/>
      <c r="N42" s="22"/>
      <c r="O42" s="22"/>
      <c r="P42" s="106"/>
      <c r="Q42" s="3"/>
      <c r="R42" s="3"/>
      <c r="S42" s="3"/>
    </row>
    <row r="43" spans="1:19" hidden="1">
      <c r="A43" s="3">
        <v>34</v>
      </c>
      <c r="B43" s="3" t="s">
        <v>151</v>
      </c>
      <c r="C43" s="3" t="s">
        <v>50</v>
      </c>
      <c r="D43" s="3" t="s">
        <v>115</v>
      </c>
      <c r="E43" s="22">
        <f t="shared" si="0"/>
        <v>3100000</v>
      </c>
      <c r="F43" s="28" t="s">
        <v>235</v>
      </c>
      <c r="G43" s="28">
        <v>1</v>
      </c>
      <c r="H43" s="22">
        <f>SUMIFS(Sheet2!$C$1:$C$81,Sheet2!$A$1:$A$81,BLuong!F43,Sheet2!$B$1:$B$81,BLuong!G43)</f>
        <v>3745</v>
      </c>
      <c r="I43" s="22">
        <v>26</v>
      </c>
      <c r="J43" s="22"/>
      <c r="K43" s="22"/>
      <c r="L43" s="22"/>
      <c r="M43" s="22"/>
      <c r="N43" s="22"/>
      <c r="O43" s="22"/>
      <c r="P43" s="106"/>
      <c r="Q43" s="3"/>
      <c r="R43" s="3"/>
      <c r="S43" s="3"/>
    </row>
    <row r="44" spans="1:19" hidden="1">
      <c r="A44" s="3">
        <v>35</v>
      </c>
      <c r="B44" s="3" t="s">
        <v>152</v>
      </c>
      <c r="C44" s="3" t="s">
        <v>51</v>
      </c>
      <c r="D44" s="3" t="s">
        <v>115</v>
      </c>
      <c r="E44" s="22">
        <f t="shared" si="0"/>
        <v>3100000</v>
      </c>
      <c r="F44" s="28" t="s">
        <v>235</v>
      </c>
      <c r="G44" s="28">
        <v>1</v>
      </c>
      <c r="H44" s="22">
        <f>SUMIFS(Sheet2!$C$1:$C$81,Sheet2!$A$1:$A$81,BLuong!F44,Sheet2!$B$1:$B$81,BLuong!G44)</f>
        <v>3745</v>
      </c>
      <c r="I44" s="22">
        <v>26</v>
      </c>
      <c r="J44" s="22"/>
      <c r="K44" s="22"/>
      <c r="L44" s="22"/>
      <c r="M44" s="22"/>
      <c r="N44" s="22"/>
      <c r="O44" s="22"/>
      <c r="P44" s="106"/>
      <c r="Q44" s="3"/>
      <c r="R44" s="3"/>
      <c r="S44" s="3"/>
    </row>
    <row r="45" spans="1:19" hidden="1">
      <c r="A45" s="3">
        <v>36</v>
      </c>
      <c r="B45" s="3" t="s">
        <v>153</v>
      </c>
      <c r="C45" s="3" t="s">
        <v>52</v>
      </c>
      <c r="D45" s="3" t="s">
        <v>115</v>
      </c>
      <c r="E45" s="22">
        <f t="shared" si="0"/>
        <v>3100000</v>
      </c>
      <c r="F45" s="28" t="s">
        <v>235</v>
      </c>
      <c r="G45" s="28">
        <v>1</v>
      </c>
      <c r="H45" s="22">
        <f>SUMIFS(Sheet2!$C$1:$C$81,Sheet2!$A$1:$A$81,BLuong!F45,Sheet2!$B$1:$B$81,BLuong!G45)</f>
        <v>3745</v>
      </c>
      <c r="I45" s="22">
        <v>26</v>
      </c>
      <c r="J45" s="22"/>
      <c r="K45" s="22"/>
      <c r="L45" s="22"/>
      <c r="M45" s="22"/>
      <c r="N45" s="22"/>
      <c r="O45" s="22"/>
      <c r="P45" s="106"/>
      <c r="Q45" s="3"/>
      <c r="R45" s="3"/>
      <c r="S45" s="3"/>
    </row>
    <row r="46" spans="1:19" hidden="1">
      <c r="A46" s="3">
        <v>37</v>
      </c>
      <c r="B46" s="3" t="s">
        <v>154</v>
      </c>
      <c r="C46" s="3" t="s">
        <v>53</v>
      </c>
      <c r="D46" s="3" t="s">
        <v>115</v>
      </c>
      <c r="E46" s="22">
        <f t="shared" si="0"/>
        <v>3100000</v>
      </c>
      <c r="F46" s="28" t="s">
        <v>235</v>
      </c>
      <c r="G46" s="28">
        <v>1</v>
      </c>
      <c r="H46" s="22">
        <f>SUMIFS(Sheet2!$C$1:$C$81,Sheet2!$A$1:$A$81,BLuong!F46,Sheet2!$B$1:$B$81,BLuong!G46)</f>
        <v>3745</v>
      </c>
      <c r="I46" s="22">
        <v>26</v>
      </c>
      <c r="J46" s="22"/>
      <c r="K46" s="22"/>
      <c r="L46" s="22"/>
      <c r="M46" s="22"/>
      <c r="N46" s="22"/>
      <c r="O46" s="22"/>
      <c r="P46" s="106"/>
      <c r="Q46" s="3"/>
      <c r="R46" s="3"/>
      <c r="S46" s="3"/>
    </row>
    <row r="47" spans="1:19" hidden="1">
      <c r="A47" s="3">
        <v>38</v>
      </c>
      <c r="B47" s="3" t="s">
        <v>155</v>
      </c>
      <c r="C47" s="3" t="s">
        <v>54</v>
      </c>
      <c r="D47" s="3" t="s">
        <v>115</v>
      </c>
      <c r="E47" s="22">
        <f t="shared" si="0"/>
        <v>3100000</v>
      </c>
      <c r="F47" s="28" t="s">
        <v>235</v>
      </c>
      <c r="G47" s="28">
        <v>1</v>
      </c>
      <c r="H47" s="22">
        <f>SUMIFS(Sheet2!$C$1:$C$81,Sheet2!$A$1:$A$81,BLuong!F47,Sheet2!$B$1:$B$81,BLuong!G47)</f>
        <v>3745</v>
      </c>
      <c r="I47" s="22">
        <v>26</v>
      </c>
      <c r="J47" s="22"/>
      <c r="K47" s="22"/>
      <c r="L47" s="22"/>
      <c r="M47" s="22"/>
      <c r="N47" s="22"/>
      <c r="O47" s="22"/>
      <c r="P47" s="106"/>
      <c r="Q47" s="3"/>
      <c r="R47" s="3"/>
      <c r="S47" s="3"/>
    </row>
    <row r="48" spans="1:19" hidden="1">
      <c r="A48" s="3">
        <v>39</v>
      </c>
      <c r="B48" s="3" t="s">
        <v>156</v>
      </c>
      <c r="C48" s="3" t="s">
        <v>55</v>
      </c>
      <c r="D48" s="3" t="s">
        <v>115</v>
      </c>
      <c r="E48" s="22">
        <f t="shared" si="0"/>
        <v>3100000</v>
      </c>
      <c r="F48" s="28" t="s">
        <v>235</v>
      </c>
      <c r="G48" s="28">
        <v>1</v>
      </c>
      <c r="H48" s="22">
        <f>SUMIFS(Sheet2!$C$1:$C$81,Sheet2!$A$1:$A$81,BLuong!F48,Sheet2!$B$1:$B$81,BLuong!G48)</f>
        <v>3745</v>
      </c>
      <c r="I48" s="22">
        <v>26</v>
      </c>
      <c r="J48" s="22"/>
      <c r="K48" s="22"/>
      <c r="L48" s="22"/>
      <c r="M48" s="22"/>
      <c r="N48" s="22"/>
      <c r="O48" s="22"/>
      <c r="P48" s="106"/>
      <c r="Q48" s="3"/>
      <c r="R48" s="3"/>
      <c r="S48" s="3"/>
    </row>
    <row r="49" spans="1:19" hidden="1">
      <c r="A49" s="3">
        <v>40</v>
      </c>
      <c r="B49" s="3" t="s">
        <v>157</v>
      </c>
      <c r="C49" s="3" t="s">
        <v>56</v>
      </c>
      <c r="D49" s="3" t="s">
        <v>116</v>
      </c>
      <c r="E49" s="22">
        <f t="shared" si="0"/>
        <v>3100000</v>
      </c>
      <c r="F49" s="28" t="s">
        <v>235</v>
      </c>
      <c r="G49" s="28">
        <v>1</v>
      </c>
      <c r="H49" s="22">
        <f>SUMIFS(Sheet2!$C$1:$C$81,Sheet2!$A$1:$A$81,BLuong!F49,Sheet2!$B$1:$B$81,BLuong!G49)</f>
        <v>3745</v>
      </c>
      <c r="I49" s="22">
        <v>26</v>
      </c>
      <c r="J49" s="22"/>
      <c r="K49" s="22"/>
      <c r="L49" s="22"/>
      <c r="M49" s="22"/>
      <c r="N49" s="22"/>
      <c r="O49" s="22"/>
      <c r="P49" s="106"/>
      <c r="Q49" s="3"/>
      <c r="R49" s="3"/>
      <c r="S49" s="3"/>
    </row>
    <row r="50" spans="1:19" hidden="1">
      <c r="A50" s="3">
        <v>41</v>
      </c>
      <c r="B50" s="3" t="s">
        <v>158</v>
      </c>
      <c r="C50" s="3" t="s">
        <v>57</v>
      </c>
      <c r="D50" s="3" t="s">
        <v>116</v>
      </c>
      <c r="E50" s="22">
        <f t="shared" si="0"/>
        <v>3100000</v>
      </c>
      <c r="F50" s="28" t="s">
        <v>235</v>
      </c>
      <c r="G50" s="28">
        <v>1</v>
      </c>
      <c r="H50" s="22">
        <f>SUMIFS(Sheet2!$C$1:$C$81,Sheet2!$A$1:$A$81,BLuong!F50,Sheet2!$B$1:$B$81,BLuong!G50)</f>
        <v>3745</v>
      </c>
      <c r="I50" s="22">
        <v>26</v>
      </c>
      <c r="J50" s="22"/>
      <c r="K50" s="22"/>
      <c r="L50" s="22"/>
      <c r="M50" s="22"/>
      <c r="N50" s="22"/>
      <c r="O50" s="22"/>
      <c r="P50" s="106"/>
      <c r="Q50" s="3"/>
      <c r="R50" s="3"/>
      <c r="S50" s="3"/>
    </row>
    <row r="51" spans="1:19" hidden="1">
      <c r="A51" s="3">
        <v>42</v>
      </c>
      <c r="B51" s="3" t="s">
        <v>159</v>
      </c>
      <c r="C51" s="3" t="s">
        <v>58</v>
      </c>
      <c r="D51" s="3" t="s">
        <v>116</v>
      </c>
      <c r="E51" s="22">
        <f t="shared" si="0"/>
        <v>3100000</v>
      </c>
      <c r="F51" s="28" t="s">
        <v>235</v>
      </c>
      <c r="G51" s="28">
        <v>1</v>
      </c>
      <c r="H51" s="22">
        <f>SUMIFS(Sheet2!$C$1:$C$81,Sheet2!$A$1:$A$81,BLuong!F51,Sheet2!$B$1:$B$81,BLuong!G51)</f>
        <v>3745</v>
      </c>
      <c r="I51" s="22">
        <v>26</v>
      </c>
      <c r="J51" s="22"/>
      <c r="K51" s="22"/>
      <c r="L51" s="22"/>
      <c r="M51" s="22"/>
      <c r="N51" s="22"/>
      <c r="O51" s="22"/>
      <c r="P51" s="106"/>
      <c r="Q51" s="3"/>
      <c r="R51" s="3"/>
      <c r="S51" s="3"/>
    </row>
    <row r="52" spans="1:19" hidden="1">
      <c r="A52" s="3">
        <v>43</v>
      </c>
      <c r="B52" s="3" t="s">
        <v>160</v>
      </c>
      <c r="C52" s="3" t="s">
        <v>59</v>
      </c>
      <c r="D52" s="3" t="s">
        <v>116</v>
      </c>
      <c r="E52" s="22">
        <f t="shared" si="0"/>
        <v>3100000</v>
      </c>
      <c r="F52" s="28" t="s">
        <v>235</v>
      </c>
      <c r="G52" s="28">
        <v>1</v>
      </c>
      <c r="H52" s="22">
        <f>SUMIFS(Sheet2!$C$1:$C$81,Sheet2!$A$1:$A$81,BLuong!F52,Sheet2!$B$1:$B$81,BLuong!G52)</f>
        <v>3745</v>
      </c>
      <c r="I52" s="22">
        <v>26</v>
      </c>
      <c r="J52" s="22"/>
      <c r="K52" s="22"/>
      <c r="L52" s="22"/>
      <c r="M52" s="22"/>
      <c r="N52" s="22"/>
      <c r="O52" s="22"/>
      <c r="P52" s="106"/>
      <c r="Q52" s="3"/>
      <c r="R52" s="3"/>
      <c r="S52" s="3"/>
    </row>
    <row r="53" spans="1:19" hidden="1">
      <c r="A53" s="3">
        <v>44</v>
      </c>
      <c r="B53" s="3" t="s">
        <v>161</v>
      </c>
      <c r="C53" s="3" t="s">
        <v>60</v>
      </c>
      <c r="D53" s="3" t="s">
        <v>116</v>
      </c>
      <c r="E53" s="22">
        <f t="shared" si="0"/>
        <v>3100000</v>
      </c>
      <c r="F53" s="28" t="s">
        <v>235</v>
      </c>
      <c r="G53" s="28">
        <v>1</v>
      </c>
      <c r="H53" s="22">
        <f>SUMIFS(Sheet2!$C$1:$C$81,Sheet2!$A$1:$A$81,BLuong!F53,Sheet2!$B$1:$B$81,BLuong!G53)</f>
        <v>3745</v>
      </c>
      <c r="I53" s="22">
        <v>26</v>
      </c>
      <c r="J53" s="22"/>
      <c r="K53" s="22"/>
      <c r="L53" s="22"/>
      <c r="M53" s="22"/>
      <c r="N53" s="22"/>
      <c r="O53" s="22"/>
      <c r="P53" s="106"/>
      <c r="Q53" s="3"/>
      <c r="R53" s="3"/>
      <c r="S53" s="3"/>
    </row>
    <row r="54" spans="1:19" s="2" customFormat="1">
      <c r="A54" s="23" t="s">
        <v>14</v>
      </c>
      <c r="B54" s="23"/>
      <c r="C54" s="23" t="s">
        <v>15</v>
      </c>
      <c r="D54" s="23"/>
      <c r="E54" s="25">
        <f t="shared" si="0"/>
        <v>3100000</v>
      </c>
      <c r="F54" s="29"/>
      <c r="G54" s="29"/>
      <c r="H54" s="34"/>
      <c r="I54" s="34"/>
      <c r="J54" s="34"/>
      <c r="K54" s="34"/>
      <c r="L54" s="34"/>
      <c r="M54" s="34"/>
      <c r="N54" s="34"/>
      <c r="O54" s="34"/>
      <c r="P54" s="34"/>
      <c r="Q54" s="23"/>
      <c r="R54" s="23"/>
      <c r="S54" s="23"/>
    </row>
    <row r="55" spans="1:19">
      <c r="A55" s="3">
        <v>45</v>
      </c>
      <c r="B55" s="3" t="s">
        <v>162</v>
      </c>
      <c r="C55" s="3" t="s">
        <v>62</v>
      </c>
      <c r="D55" s="3" t="s">
        <v>201</v>
      </c>
      <c r="E55" s="22">
        <f t="shared" si="0"/>
        <v>3100000</v>
      </c>
      <c r="F55" s="28" t="s">
        <v>210</v>
      </c>
      <c r="G55" s="28">
        <v>5</v>
      </c>
      <c r="H55" s="22">
        <f>SUMIFS(Sheet2!$C$1:$C$81,Sheet2!$A$1:$A$81,BLuong!F55,Sheet2!$B$1:$B$81,BLuong!G55)*1000</f>
        <v>10860500</v>
      </c>
      <c r="I55" s="22" t="e">
        <f>VLOOKUP(C55,CC!$C$5:$AJ$49,34,0)</f>
        <v>#N/A</v>
      </c>
      <c r="J55" s="22"/>
      <c r="K55" s="22"/>
      <c r="L55" s="22"/>
      <c r="M55" s="22"/>
      <c r="N55" s="22" t="e">
        <f>H55/26*I55</f>
        <v>#N/A</v>
      </c>
      <c r="O55" s="22"/>
      <c r="P55" s="106" t="e">
        <f>N55+O55</f>
        <v>#N/A</v>
      </c>
      <c r="Q55" s="3"/>
      <c r="R55" s="3"/>
      <c r="S55" s="3"/>
    </row>
    <row r="56" spans="1:19">
      <c r="A56" s="3">
        <v>46</v>
      </c>
      <c r="B56" s="3" t="s">
        <v>163</v>
      </c>
      <c r="C56" s="3" t="s">
        <v>63</v>
      </c>
      <c r="D56" s="3" t="s">
        <v>202</v>
      </c>
      <c r="E56" s="22">
        <f t="shared" si="0"/>
        <v>3100000</v>
      </c>
      <c r="F56" s="28" t="s">
        <v>210</v>
      </c>
      <c r="G56" s="28">
        <v>3</v>
      </c>
      <c r="H56" s="22">
        <f>SUMIFS(Sheet2!$C$1:$C$81,Sheet2!$A$1:$A$81,BLuong!F56,Sheet2!$B$1:$B$81,BLuong!G56)*1000</f>
        <v>8613500</v>
      </c>
      <c r="I56" s="22" t="e">
        <f>VLOOKUP(C56,CC!$C$5:$AJ$49,34,0)</f>
        <v>#N/A</v>
      </c>
      <c r="J56" s="22"/>
      <c r="K56" s="22"/>
      <c r="L56" s="22"/>
      <c r="M56" s="22"/>
      <c r="N56" s="22" t="e">
        <f t="shared" ref="N56:N99" si="1">H56/26*I56</f>
        <v>#N/A</v>
      </c>
      <c r="O56" s="22"/>
      <c r="P56" s="106" t="e">
        <f t="shared" ref="P56:P99" si="2">N56+O56</f>
        <v>#N/A</v>
      </c>
      <c r="Q56" s="3"/>
      <c r="R56" s="3"/>
      <c r="S56" s="3"/>
    </row>
    <row r="57" spans="1:19">
      <c r="A57" s="3">
        <v>47</v>
      </c>
      <c r="B57" s="3" t="s">
        <v>164</v>
      </c>
      <c r="C57" s="3" t="s">
        <v>64</v>
      </c>
      <c r="D57" s="3" t="s">
        <v>103</v>
      </c>
      <c r="E57" s="22">
        <f t="shared" si="0"/>
        <v>3100000</v>
      </c>
      <c r="F57" s="28" t="s">
        <v>211</v>
      </c>
      <c r="G57" s="28">
        <v>1</v>
      </c>
      <c r="H57" s="22">
        <f>SUMIFS(Sheet2!$C$1:$C$81,Sheet2!$A$1:$A$81,BLuong!F57,Sheet2!$B$1:$B$81,BLuong!G57)*1000</f>
        <v>5617500</v>
      </c>
      <c r="I57" s="22" t="e">
        <f>VLOOKUP(C57,CC!$C$5:$AJ$49,34,0)</f>
        <v>#N/A</v>
      </c>
      <c r="J57" s="22"/>
      <c r="K57" s="22"/>
      <c r="L57" s="22"/>
      <c r="M57" s="22"/>
      <c r="N57" s="22" t="e">
        <f t="shared" si="1"/>
        <v>#N/A</v>
      </c>
      <c r="O57" s="22"/>
      <c r="P57" s="106" t="e">
        <f t="shared" si="2"/>
        <v>#N/A</v>
      </c>
      <c r="Q57" s="3"/>
      <c r="R57" s="3"/>
      <c r="S57" s="3"/>
    </row>
    <row r="58" spans="1:19">
      <c r="A58" s="3">
        <v>48</v>
      </c>
      <c r="B58" s="3" t="s">
        <v>165</v>
      </c>
      <c r="C58" s="3" t="s">
        <v>65</v>
      </c>
      <c r="D58" s="3" t="s">
        <v>203</v>
      </c>
      <c r="E58" s="22">
        <f t="shared" si="0"/>
        <v>3100000</v>
      </c>
      <c r="F58" s="28" t="s">
        <v>235</v>
      </c>
      <c r="G58" s="28">
        <v>1</v>
      </c>
      <c r="H58" s="22">
        <f>SUMIFS(Sheet2!$C$1:$C$81,Sheet2!$A$1:$A$81,BLuong!F58,Sheet2!$B$1:$B$81,BLuong!G58)*1000</f>
        <v>3745000</v>
      </c>
      <c r="I58" s="22">
        <f>VLOOKUP(C58,CC!$C$5:$AJ$49,34,0)</f>
        <v>27</v>
      </c>
      <c r="J58" s="22"/>
      <c r="K58" s="22"/>
      <c r="L58" s="22"/>
      <c r="M58" s="22"/>
      <c r="N58" s="22">
        <f t="shared" si="1"/>
        <v>3889038.4615384615</v>
      </c>
      <c r="O58" s="22"/>
      <c r="P58" s="106">
        <f t="shared" si="2"/>
        <v>3889038.4615384615</v>
      </c>
      <c r="Q58" s="3"/>
      <c r="R58" s="3"/>
      <c r="S58" s="3"/>
    </row>
    <row r="59" spans="1:19" s="2" customFormat="1">
      <c r="A59" s="23"/>
      <c r="B59" s="23"/>
      <c r="C59" s="23" t="s">
        <v>361</v>
      </c>
      <c r="D59" s="23"/>
      <c r="E59" s="25"/>
      <c r="F59" s="29"/>
      <c r="G59" s="29"/>
      <c r="H59" s="34"/>
      <c r="I59" s="105"/>
      <c r="J59" s="105"/>
      <c r="K59" s="105"/>
      <c r="L59" s="105"/>
      <c r="M59" s="105"/>
      <c r="N59" s="34"/>
      <c r="O59" s="34"/>
      <c r="P59" s="34"/>
      <c r="Q59" s="23"/>
      <c r="R59" s="23"/>
      <c r="S59" s="23"/>
    </row>
    <row r="60" spans="1:19">
      <c r="A60" s="3"/>
      <c r="B60" s="3"/>
      <c r="C60" s="3" t="s">
        <v>36</v>
      </c>
      <c r="D60" s="3" t="s">
        <v>364</v>
      </c>
      <c r="E60" s="22">
        <f t="shared" si="0"/>
        <v>3100000</v>
      </c>
      <c r="F60" s="28" t="s">
        <v>210</v>
      </c>
      <c r="G60" s="28">
        <v>2</v>
      </c>
      <c r="H60" s="22">
        <f>SUMIFS(Sheet2!$C$1:$C$81,Sheet2!$A$1:$A$81,BLuong!F60,Sheet2!$B$1:$B$81,BLuong!G60)*1000</f>
        <v>7490000</v>
      </c>
      <c r="I60" s="22" t="e">
        <f>VLOOKUP(C60,CC!$C$5:$AJ$49,34,0)</f>
        <v>#N/A</v>
      </c>
      <c r="J60" s="22"/>
      <c r="K60" s="22"/>
      <c r="L60" s="22"/>
      <c r="M60" s="22"/>
      <c r="N60" s="22" t="e">
        <f t="shared" si="1"/>
        <v>#N/A</v>
      </c>
      <c r="O60" s="22"/>
      <c r="P60" s="106" t="e">
        <f t="shared" si="2"/>
        <v>#N/A</v>
      </c>
      <c r="Q60" s="3"/>
      <c r="R60" s="3"/>
      <c r="S60" s="3"/>
    </row>
    <row r="61" spans="1:19">
      <c r="A61" s="3"/>
      <c r="B61" s="3"/>
      <c r="C61" s="3" t="s">
        <v>362</v>
      </c>
      <c r="D61" s="3" t="s">
        <v>363</v>
      </c>
      <c r="E61" s="22">
        <f t="shared" si="0"/>
        <v>3100000</v>
      </c>
      <c r="F61" s="28" t="s">
        <v>234</v>
      </c>
      <c r="G61" s="28">
        <v>4</v>
      </c>
      <c r="H61" s="22">
        <f>SUMIFS(Sheet2!$C$1:$C$81,Sheet2!$A$1:$A$81,BLuong!F61,Sheet2!$B$1:$B$81,BLuong!G61)*1000</f>
        <v>4868500</v>
      </c>
      <c r="I61" s="22" t="e">
        <f>VLOOKUP(C61,CC!$C$5:$AJ$49,34,0)</f>
        <v>#N/A</v>
      </c>
      <c r="J61" s="22"/>
      <c r="K61" s="22"/>
      <c r="L61" s="22"/>
      <c r="M61" s="22"/>
      <c r="N61" s="22" t="e">
        <f t="shared" si="1"/>
        <v>#N/A</v>
      </c>
      <c r="O61" s="22"/>
      <c r="P61" s="106" t="e">
        <f t="shared" si="2"/>
        <v>#N/A</v>
      </c>
      <c r="Q61" s="3"/>
      <c r="R61" s="3"/>
      <c r="S61" s="3"/>
    </row>
    <row r="62" spans="1:19" s="2" customFormat="1" ht="22.8">
      <c r="A62" s="23" t="s">
        <v>16</v>
      </c>
      <c r="B62" s="23"/>
      <c r="C62" s="23" t="s">
        <v>17</v>
      </c>
      <c r="D62" s="23"/>
      <c r="E62" s="25">
        <f t="shared" si="0"/>
        <v>3100000</v>
      </c>
      <c r="F62" s="29"/>
      <c r="G62" s="29"/>
      <c r="H62" s="34"/>
      <c r="I62" s="105"/>
      <c r="J62" s="105"/>
      <c r="K62" s="105"/>
      <c r="L62" s="105"/>
      <c r="M62" s="105"/>
      <c r="N62" s="34"/>
      <c r="O62" s="34"/>
      <c r="P62" s="34"/>
      <c r="Q62" s="23"/>
      <c r="R62" s="23"/>
      <c r="S62" s="23"/>
    </row>
    <row r="63" spans="1:19">
      <c r="A63" s="3">
        <v>49</v>
      </c>
      <c r="B63" s="3" t="s">
        <v>166</v>
      </c>
      <c r="C63" s="3" t="s">
        <v>66</v>
      </c>
      <c r="D63" s="3" t="s">
        <v>204</v>
      </c>
      <c r="E63" s="22">
        <f t="shared" si="0"/>
        <v>3100000</v>
      </c>
      <c r="F63" s="28" t="s">
        <v>211</v>
      </c>
      <c r="G63" s="28">
        <v>4</v>
      </c>
      <c r="H63" s="22">
        <f>SUMIFS(Sheet2!$C$1:$C$81,Sheet2!$A$1:$A$81,BLuong!F63,Sheet2!$B$1:$B$81,BLuong!G63)*1000</f>
        <v>7864500</v>
      </c>
      <c r="I63" s="22" t="e">
        <f>VLOOKUP(C63,CC!$C$5:$AJ$49,34,0)</f>
        <v>#N/A</v>
      </c>
      <c r="J63" s="22"/>
      <c r="K63" s="22"/>
      <c r="L63" s="22"/>
      <c r="M63" s="22"/>
      <c r="N63" s="22" t="e">
        <f t="shared" si="1"/>
        <v>#N/A</v>
      </c>
      <c r="O63" s="22"/>
      <c r="P63" s="106" t="e">
        <f t="shared" si="2"/>
        <v>#N/A</v>
      </c>
      <c r="Q63" s="3"/>
      <c r="R63" s="3"/>
      <c r="S63" s="3"/>
    </row>
    <row r="64" spans="1:19">
      <c r="A64" s="3">
        <v>50</v>
      </c>
      <c r="B64" s="3" t="s">
        <v>167</v>
      </c>
      <c r="C64" s="3" t="s">
        <v>61</v>
      </c>
      <c r="D64" s="3" t="s">
        <v>205</v>
      </c>
      <c r="E64" s="22">
        <f t="shared" si="0"/>
        <v>3100000</v>
      </c>
      <c r="F64" s="28" t="s">
        <v>211</v>
      </c>
      <c r="G64" s="28">
        <v>5</v>
      </c>
      <c r="H64" s="22">
        <f>SUMIFS(Sheet2!$C$1:$C$81,Sheet2!$A$1:$A$81,BLuong!F64,Sheet2!$B$1:$B$81,BLuong!G64)*1000</f>
        <v>8613500</v>
      </c>
      <c r="I64" s="22" t="e">
        <f>VLOOKUP(C64,CC!$C$5:$AJ$49,34,0)</f>
        <v>#N/A</v>
      </c>
      <c r="J64" s="22"/>
      <c r="K64" s="22"/>
      <c r="L64" s="22"/>
      <c r="M64" s="22"/>
      <c r="N64" s="22" t="e">
        <f t="shared" si="1"/>
        <v>#N/A</v>
      </c>
      <c r="O64" s="22"/>
      <c r="P64" s="106" t="e">
        <f t="shared" si="2"/>
        <v>#N/A</v>
      </c>
      <c r="Q64" s="3"/>
      <c r="R64" s="3"/>
      <c r="S64" s="3"/>
    </row>
    <row r="65" spans="1:19" s="2" customFormat="1">
      <c r="A65" s="23" t="s">
        <v>18</v>
      </c>
      <c r="B65" s="23"/>
      <c r="C65" s="23" t="s">
        <v>19</v>
      </c>
      <c r="D65" s="23"/>
      <c r="E65" s="25">
        <f t="shared" si="0"/>
        <v>3100000</v>
      </c>
      <c r="F65" s="29"/>
      <c r="G65" s="29"/>
      <c r="H65" s="34"/>
      <c r="I65" s="105"/>
      <c r="J65" s="105"/>
      <c r="K65" s="105"/>
      <c r="L65" s="105"/>
      <c r="M65" s="105"/>
      <c r="N65" s="34"/>
      <c r="O65" s="34"/>
      <c r="P65" s="34"/>
      <c r="Q65" s="23"/>
      <c r="R65" s="23"/>
      <c r="S65" s="23"/>
    </row>
    <row r="66" spans="1:19">
      <c r="A66" s="3">
        <v>51</v>
      </c>
      <c r="B66" s="3" t="s">
        <v>168</v>
      </c>
      <c r="C66" s="3" t="s">
        <v>67</v>
      </c>
      <c r="D66" s="3" t="s">
        <v>206</v>
      </c>
      <c r="E66" s="22">
        <f t="shared" si="0"/>
        <v>3100000</v>
      </c>
      <c r="F66" s="28" t="s">
        <v>211</v>
      </c>
      <c r="G66" s="28">
        <v>3</v>
      </c>
      <c r="H66" s="22">
        <f>SUMIFS(Sheet2!$C$1:$C$81,Sheet2!$A$1:$A$81,BLuong!F66,Sheet2!$B$1:$B$81,BLuong!G66)*1000</f>
        <v>7115500</v>
      </c>
      <c r="I66" s="22" t="e">
        <f>VLOOKUP(C66,CC!$C$5:$AJ$49,34,0)</f>
        <v>#N/A</v>
      </c>
      <c r="J66" s="22"/>
      <c r="K66" s="22"/>
      <c r="L66" s="22"/>
      <c r="M66" s="22"/>
      <c r="N66" s="22" t="e">
        <f t="shared" si="1"/>
        <v>#N/A</v>
      </c>
      <c r="O66" s="22" t="e">
        <f>VLOOKUP(C66,'Công tổng'!$C$53:$BY$67,66,0)</f>
        <v>#N/A</v>
      </c>
      <c r="P66" s="106" t="e">
        <f t="shared" si="2"/>
        <v>#N/A</v>
      </c>
      <c r="Q66" s="3"/>
      <c r="R66" s="3"/>
      <c r="S66" s="3"/>
    </row>
    <row r="67" spans="1:19">
      <c r="A67" s="3">
        <v>52</v>
      </c>
      <c r="B67" s="3" t="s">
        <v>169</v>
      </c>
      <c r="C67" s="3" t="s">
        <v>72</v>
      </c>
      <c r="D67" s="3" t="s">
        <v>206</v>
      </c>
      <c r="E67" s="22">
        <f t="shared" si="0"/>
        <v>3100000</v>
      </c>
      <c r="F67" s="28" t="s">
        <v>211</v>
      </c>
      <c r="G67" s="28">
        <v>3</v>
      </c>
      <c r="H67" s="22">
        <f>SUMIFS(Sheet2!$C$1:$C$81,Sheet2!$A$1:$A$81,BLuong!F67,Sheet2!$B$1:$B$81,BLuong!G67)*1000</f>
        <v>7115500</v>
      </c>
      <c r="I67" s="22" t="e">
        <f>VLOOKUP(C67,CC!$C$5:$AJ$49,34,0)</f>
        <v>#N/A</v>
      </c>
      <c r="J67" s="22"/>
      <c r="K67" s="22"/>
      <c r="L67" s="22"/>
      <c r="M67" s="22"/>
      <c r="N67" s="22" t="e">
        <f t="shared" si="1"/>
        <v>#N/A</v>
      </c>
      <c r="O67" s="22" t="e">
        <f>VLOOKUP(C67,'Công tổng'!$C$53:$BY$67,66,0)</f>
        <v>#N/A</v>
      </c>
      <c r="P67" s="106" t="e">
        <f t="shared" si="2"/>
        <v>#N/A</v>
      </c>
      <c r="Q67" s="3"/>
      <c r="R67" s="3"/>
      <c r="S67" s="3"/>
    </row>
    <row r="68" spans="1:19">
      <c r="A68" s="3">
        <v>53</v>
      </c>
      <c r="B68" s="3" t="s">
        <v>170</v>
      </c>
      <c r="C68" s="3" t="s">
        <v>73</v>
      </c>
      <c r="D68" s="3" t="s">
        <v>206</v>
      </c>
      <c r="E68" s="22">
        <f t="shared" si="0"/>
        <v>3100000</v>
      </c>
      <c r="F68" s="28" t="s">
        <v>211</v>
      </c>
      <c r="G68" s="28">
        <v>3</v>
      </c>
      <c r="H68" s="22">
        <f>SUMIFS(Sheet2!$C$1:$C$81,Sheet2!$A$1:$A$81,BLuong!F68,Sheet2!$B$1:$B$81,BLuong!G68)*1000</f>
        <v>7115500</v>
      </c>
      <c r="I68" s="22" t="e">
        <f>VLOOKUP(C68,CC!$C$5:$AJ$49,34,0)</f>
        <v>#N/A</v>
      </c>
      <c r="J68" s="22"/>
      <c r="K68" s="22"/>
      <c r="L68" s="22"/>
      <c r="M68" s="22"/>
      <c r="N68" s="22" t="e">
        <f t="shared" si="1"/>
        <v>#N/A</v>
      </c>
      <c r="O68" s="22" t="e">
        <f>VLOOKUP(C68,'Công tổng'!$C$53:$BY$67,66,0)</f>
        <v>#N/A</v>
      </c>
      <c r="P68" s="106" t="e">
        <f t="shared" si="2"/>
        <v>#N/A</v>
      </c>
      <c r="Q68" s="3"/>
      <c r="R68" s="3"/>
      <c r="S68" s="3"/>
    </row>
    <row r="69" spans="1:19">
      <c r="A69" s="3">
        <v>54</v>
      </c>
      <c r="B69" s="3" t="s">
        <v>171</v>
      </c>
      <c r="C69" s="3" t="s">
        <v>68</v>
      </c>
      <c r="D69" s="3" t="s">
        <v>206</v>
      </c>
      <c r="E69" s="22">
        <f t="shared" si="0"/>
        <v>3100000</v>
      </c>
      <c r="F69" s="28" t="s">
        <v>233</v>
      </c>
      <c r="G69" s="28">
        <v>1</v>
      </c>
      <c r="H69" s="22">
        <f>SUMIFS(Sheet2!$C$1:$C$81,Sheet2!$A$1:$A$81,BLuong!F69,Sheet2!$B$1:$B$81,BLuong!G69)*1000</f>
        <v>3745000</v>
      </c>
      <c r="I69" s="22" t="e">
        <f>VLOOKUP(C69,CC!$C$5:$AJ$49,34,0)</f>
        <v>#N/A</v>
      </c>
      <c r="J69" s="22"/>
      <c r="K69" s="22"/>
      <c r="L69" s="22"/>
      <c r="M69" s="22"/>
      <c r="N69" s="22" t="e">
        <f>H69/26*I69</f>
        <v>#N/A</v>
      </c>
      <c r="O69" s="22" t="e">
        <f>VLOOKUP(C69,'Công tổng'!$C$53:$BY$67,66,0)</f>
        <v>#N/A</v>
      </c>
      <c r="P69" s="106" t="e">
        <f t="shared" si="2"/>
        <v>#N/A</v>
      </c>
      <c r="Q69" s="3"/>
      <c r="R69" s="3"/>
      <c r="S69" s="3"/>
    </row>
    <row r="70" spans="1:19">
      <c r="A70" s="3">
        <v>55</v>
      </c>
      <c r="B70" s="3" t="s">
        <v>172</v>
      </c>
      <c r="C70" s="3" t="s">
        <v>74</v>
      </c>
      <c r="D70" s="3" t="s">
        <v>206</v>
      </c>
      <c r="E70" s="22">
        <f t="shared" si="0"/>
        <v>3100000</v>
      </c>
      <c r="F70" s="28" t="s">
        <v>233</v>
      </c>
      <c r="G70" s="28">
        <v>1</v>
      </c>
      <c r="H70" s="22">
        <f>SUMIFS(Sheet2!$C$1:$C$81,Sheet2!$A$1:$A$81,BLuong!F70,Sheet2!$B$1:$B$81,BLuong!G70)*1000</f>
        <v>3745000</v>
      </c>
      <c r="I70" s="22">
        <f>VLOOKUP(C70,CC!$C$5:$AJ$49,34,0)</f>
        <v>27</v>
      </c>
      <c r="J70" s="22"/>
      <c r="K70" s="22"/>
      <c r="L70" s="22"/>
      <c r="M70" s="22"/>
      <c r="N70" s="22">
        <f t="shared" si="1"/>
        <v>3889038.4615384615</v>
      </c>
      <c r="O70" s="22" t="e">
        <f>VLOOKUP(C70,'Công tổng'!$C$53:$BY$67,66,0)</f>
        <v>#N/A</v>
      </c>
      <c r="P70" s="106" t="e">
        <f t="shared" si="2"/>
        <v>#N/A</v>
      </c>
      <c r="Q70" s="3"/>
      <c r="R70" s="3"/>
      <c r="S70" s="3"/>
    </row>
    <row r="71" spans="1:19">
      <c r="A71" s="3">
        <v>56</v>
      </c>
      <c r="B71" s="3" t="s">
        <v>173</v>
      </c>
      <c r="C71" s="3" t="s">
        <v>368</v>
      </c>
      <c r="D71" s="3" t="s">
        <v>206</v>
      </c>
      <c r="E71" s="22">
        <f t="shared" si="0"/>
        <v>3100000</v>
      </c>
      <c r="F71" s="28" t="s">
        <v>233</v>
      </c>
      <c r="G71" s="28">
        <v>1</v>
      </c>
      <c r="H71" s="22">
        <f>SUMIFS(Sheet2!$C$1:$C$81,Sheet2!$A$1:$A$81,BLuong!F71,Sheet2!$B$1:$B$81,BLuong!G71)*1000</f>
        <v>3745000</v>
      </c>
      <c r="I71" s="22" t="e">
        <f>VLOOKUP(C71,CC!$C$5:$AJ$49,34,0)</f>
        <v>#N/A</v>
      </c>
      <c r="J71" s="22"/>
      <c r="K71" s="22"/>
      <c r="L71" s="22"/>
      <c r="M71" s="22"/>
      <c r="N71" s="22" t="e">
        <f t="shared" si="1"/>
        <v>#N/A</v>
      </c>
      <c r="O71" s="22" t="e">
        <f>VLOOKUP(C71,'Công tổng'!$C$53:$BY$67,66,0)</f>
        <v>#N/A</v>
      </c>
      <c r="P71" s="106" t="e">
        <f t="shared" si="2"/>
        <v>#N/A</v>
      </c>
      <c r="Q71" s="3"/>
      <c r="R71" s="3"/>
      <c r="S71" s="3"/>
    </row>
    <row r="72" spans="1:19">
      <c r="A72" s="3">
        <v>57</v>
      </c>
      <c r="B72" s="3" t="s">
        <v>174</v>
      </c>
      <c r="C72" s="3" t="s">
        <v>69</v>
      </c>
      <c r="D72" s="3" t="s">
        <v>206</v>
      </c>
      <c r="E72" s="22">
        <f t="shared" si="0"/>
        <v>3100000</v>
      </c>
      <c r="F72" s="28" t="s">
        <v>233</v>
      </c>
      <c r="G72" s="28">
        <v>1</v>
      </c>
      <c r="H72" s="22">
        <f>SUMIFS(Sheet2!$C$1:$C$81,Sheet2!$A$1:$A$81,BLuong!F72,Sheet2!$B$1:$B$81,BLuong!G72)*1000</f>
        <v>3745000</v>
      </c>
      <c r="I72" s="22" t="e">
        <f>VLOOKUP(C72,CC!$C$5:$AJ$49,34,0)</f>
        <v>#N/A</v>
      </c>
      <c r="J72" s="22"/>
      <c r="K72" s="22"/>
      <c r="L72" s="22"/>
      <c r="M72" s="22"/>
      <c r="N72" s="22" t="e">
        <f t="shared" si="1"/>
        <v>#N/A</v>
      </c>
      <c r="O72" s="22" t="e">
        <f>VLOOKUP(C72,'Công tổng'!$C$53:$BY$67,66,0)</f>
        <v>#N/A</v>
      </c>
      <c r="P72" s="106" t="e">
        <f t="shared" si="2"/>
        <v>#N/A</v>
      </c>
      <c r="Q72" s="3"/>
      <c r="R72" s="3"/>
      <c r="S72" s="3"/>
    </row>
    <row r="73" spans="1:19">
      <c r="A73" s="3">
        <v>58</v>
      </c>
      <c r="B73" s="3" t="s">
        <v>175</v>
      </c>
      <c r="C73" s="3" t="s">
        <v>75</v>
      </c>
      <c r="D73" s="3" t="s">
        <v>206</v>
      </c>
      <c r="E73" s="22">
        <f t="shared" ref="E73:E99" si="3">$E$3</f>
        <v>3100000</v>
      </c>
      <c r="F73" s="28" t="s">
        <v>233</v>
      </c>
      <c r="G73" s="28">
        <v>1</v>
      </c>
      <c r="H73" s="22">
        <f>SUMIFS(Sheet2!$C$1:$C$81,Sheet2!$A$1:$A$81,BLuong!F73,Sheet2!$B$1:$B$81,BLuong!G73)*1000</f>
        <v>3745000</v>
      </c>
      <c r="I73" s="22">
        <f>VLOOKUP(C73,CC!$C$5:$AJ$49,34,0)</f>
        <v>27</v>
      </c>
      <c r="J73" s="22"/>
      <c r="K73" s="22"/>
      <c r="L73" s="22"/>
      <c r="M73" s="22"/>
      <c r="N73" s="22">
        <f t="shared" si="1"/>
        <v>3889038.4615384615</v>
      </c>
      <c r="O73" s="22" t="e">
        <f>VLOOKUP(C73,'Công tổng'!$C$53:$BY$67,66,0)</f>
        <v>#N/A</v>
      </c>
      <c r="P73" s="106" t="e">
        <f t="shared" si="2"/>
        <v>#N/A</v>
      </c>
      <c r="Q73" s="3"/>
      <c r="R73" s="3"/>
      <c r="S73" s="3"/>
    </row>
    <row r="74" spans="1:19">
      <c r="A74" s="3">
        <v>59</v>
      </c>
      <c r="B74" s="3" t="s">
        <v>176</v>
      </c>
      <c r="C74" s="3" t="s">
        <v>76</v>
      </c>
      <c r="D74" s="3" t="s">
        <v>206</v>
      </c>
      <c r="E74" s="22">
        <f t="shared" si="3"/>
        <v>3100000</v>
      </c>
      <c r="F74" s="28" t="s">
        <v>233</v>
      </c>
      <c r="G74" s="28">
        <v>1</v>
      </c>
      <c r="H74" s="22">
        <f>SUMIFS(Sheet2!$C$1:$C$81,Sheet2!$A$1:$A$81,BLuong!F74,Sheet2!$B$1:$B$81,BLuong!G74)*1000</f>
        <v>3745000</v>
      </c>
      <c r="I74" s="22" t="e">
        <f>VLOOKUP(C74,CC!$C$5:$AJ$49,34,0)</f>
        <v>#N/A</v>
      </c>
      <c r="J74" s="22"/>
      <c r="K74" s="22"/>
      <c r="L74" s="22"/>
      <c r="M74" s="22"/>
      <c r="N74" s="22" t="e">
        <f t="shared" si="1"/>
        <v>#N/A</v>
      </c>
      <c r="O74" s="22" t="e">
        <f>VLOOKUP(C74,'Công tổng'!$C$53:$BY$67,66,0)</f>
        <v>#N/A</v>
      </c>
      <c r="P74" s="106" t="e">
        <f t="shared" si="2"/>
        <v>#N/A</v>
      </c>
      <c r="Q74" s="3"/>
      <c r="R74" s="3"/>
      <c r="S74" s="3"/>
    </row>
    <row r="75" spans="1:19">
      <c r="A75" s="3">
        <v>60</v>
      </c>
      <c r="B75" s="3" t="s">
        <v>177</v>
      </c>
      <c r="C75" s="3" t="s">
        <v>70</v>
      </c>
      <c r="D75" s="3" t="s">
        <v>206</v>
      </c>
      <c r="E75" s="22">
        <f t="shared" si="3"/>
        <v>3100000</v>
      </c>
      <c r="F75" s="28" t="s">
        <v>233</v>
      </c>
      <c r="G75" s="28">
        <v>1</v>
      </c>
      <c r="H75" s="22">
        <f>SUMIFS(Sheet2!$C$1:$C$81,Sheet2!$A$1:$A$81,BLuong!F75,Sheet2!$B$1:$B$81,BLuong!G75)*1000</f>
        <v>3745000</v>
      </c>
      <c r="I75" s="22">
        <f>VLOOKUP(C75,CC!$C$5:$AJ$49,34,0)</f>
        <v>27</v>
      </c>
      <c r="J75" s="22"/>
      <c r="K75" s="22"/>
      <c r="L75" s="22"/>
      <c r="M75" s="22"/>
      <c r="N75" s="22">
        <f t="shared" si="1"/>
        <v>3889038.4615384615</v>
      </c>
      <c r="O75" s="22">
        <f>VLOOKUP(C75,'Công tổng'!$C$53:$BY$67,66,0)</f>
        <v>0</v>
      </c>
      <c r="P75" s="106">
        <f t="shared" si="2"/>
        <v>3889038.4615384615</v>
      </c>
      <c r="Q75" s="3"/>
      <c r="R75" s="3"/>
      <c r="S75" s="3"/>
    </row>
    <row r="76" spans="1:19">
      <c r="A76" s="3">
        <v>61</v>
      </c>
      <c r="B76" s="3" t="s">
        <v>178</v>
      </c>
      <c r="C76" s="3" t="s">
        <v>77</v>
      </c>
      <c r="D76" s="3" t="s">
        <v>206</v>
      </c>
      <c r="E76" s="22">
        <f t="shared" si="3"/>
        <v>3100000</v>
      </c>
      <c r="F76" s="28" t="s">
        <v>233</v>
      </c>
      <c r="G76" s="28">
        <v>1</v>
      </c>
      <c r="H76" s="22">
        <f>SUMIFS(Sheet2!$C$1:$C$81,Sheet2!$A$1:$A$81,BLuong!F76,Sheet2!$B$1:$B$81,BLuong!G76)*1000</f>
        <v>3745000</v>
      </c>
      <c r="I76" s="22">
        <f>VLOOKUP(C76,CC!$C$5:$AJ$49,34,0)</f>
        <v>27</v>
      </c>
      <c r="J76" s="22"/>
      <c r="K76" s="22"/>
      <c r="L76" s="22"/>
      <c r="M76" s="22"/>
      <c r="N76" s="22">
        <f t="shared" si="1"/>
        <v>3889038.4615384615</v>
      </c>
      <c r="O76" s="22" t="e">
        <f>VLOOKUP(C76,'Công tổng'!$C$53:$BY$67,66,0)</f>
        <v>#N/A</v>
      </c>
      <c r="P76" s="106" t="e">
        <f t="shared" si="2"/>
        <v>#N/A</v>
      </c>
      <c r="Q76" s="3"/>
      <c r="R76" s="3"/>
      <c r="S76" s="3"/>
    </row>
    <row r="77" spans="1:19">
      <c r="A77" s="3">
        <v>62</v>
      </c>
      <c r="B77" s="3" t="s">
        <v>179</v>
      </c>
      <c r="C77" s="3" t="s">
        <v>89</v>
      </c>
      <c r="D77" s="3" t="s">
        <v>206</v>
      </c>
      <c r="E77" s="22">
        <f t="shared" si="3"/>
        <v>3100000</v>
      </c>
      <c r="F77" s="28" t="s">
        <v>233</v>
      </c>
      <c r="G77" s="28">
        <v>1</v>
      </c>
      <c r="H77" s="22">
        <f>SUMIFS(Sheet2!$C$1:$C$81,Sheet2!$A$1:$A$81,BLuong!F77,Sheet2!$B$1:$B$81,BLuong!G77)*1000</f>
        <v>3745000</v>
      </c>
      <c r="I77" s="22" t="e">
        <f>VLOOKUP(C77,CC!$C$5:$AJ$49,34,0)</f>
        <v>#N/A</v>
      </c>
      <c r="J77" s="22"/>
      <c r="K77" s="22"/>
      <c r="L77" s="22"/>
      <c r="M77" s="22"/>
      <c r="N77" s="22" t="e">
        <f t="shared" si="1"/>
        <v>#N/A</v>
      </c>
      <c r="O77" s="22" t="e">
        <f>VLOOKUP(C77,'Công tổng'!$C$53:$BY$67,66,0)</f>
        <v>#N/A</v>
      </c>
      <c r="P77" s="106" t="e">
        <f t="shared" si="2"/>
        <v>#N/A</v>
      </c>
      <c r="Q77" s="3"/>
      <c r="R77" s="3"/>
      <c r="S77" s="3"/>
    </row>
    <row r="78" spans="1:19">
      <c r="A78" s="3">
        <v>63</v>
      </c>
      <c r="B78" s="3" t="s">
        <v>180</v>
      </c>
      <c r="C78" s="3" t="s">
        <v>71</v>
      </c>
      <c r="D78" s="3" t="s">
        <v>206</v>
      </c>
      <c r="E78" s="22">
        <f t="shared" si="3"/>
        <v>3100000</v>
      </c>
      <c r="F78" s="28" t="s">
        <v>233</v>
      </c>
      <c r="G78" s="28">
        <v>1</v>
      </c>
      <c r="H78" s="22">
        <f>SUMIFS(Sheet2!$C$1:$C$81,Sheet2!$A$1:$A$81,BLuong!F78,Sheet2!$B$1:$B$81,BLuong!G78)*1000</f>
        <v>3745000</v>
      </c>
      <c r="I78" s="22">
        <f>VLOOKUP(C78,CC!$C$5:$AJ$49,34,0)</f>
        <v>27</v>
      </c>
      <c r="J78" s="22"/>
      <c r="K78" s="22"/>
      <c r="L78" s="22"/>
      <c r="M78" s="22"/>
      <c r="N78" s="22">
        <f t="shared" si="1"/>
        <v>3889038.4615384615</v>
      </c>
      <c r="O78" s="22">
        <f>VLOOKUP(C78,'Công tổng'!$C$53:$BY$67,66,0)</f>
        <v>0</v>
      </c>
      <c r="P78" s="106">
        <f t="shared" si="2"/>
        <v>3889038.4615384615</v>
      </c>
      <c r="Q78" s="3"/>
      <c r="R78" s="3"/>
      <c r="S78" s="3"/>
    </row>
    <row r="79" spans="1:19">
      <c r="A79" s="3">
        <v>64</v>
      </c>
      <c r="B79" s="3" t="s">
        <v>181</v>
      </c>
      <c r="C79" s="3" t="s">
        <v>87</v>
      </c>
      <c r="D79" s="3" t="s">
        <v>207</v>
      </c>
      <c r="E79" s="22">
        <f t="shared" si="3"/>
        <v>3100000</v>
      </c>
      <c r="F79" s="28" t="s">
        <v>236</v>
      </c>
      <c r="G79" s="28">
        <v>1</v>
      </c>
      <c r="H79" s="22">
        <f>SUMIFS(Sheet2!$C$1:$C$81,Sheet2!$A$1:$A$81,BLuong!F79,Sheet2!$B$1:$B$81,BLuong!G79)*1000</f>
        <v>3745000</v>
      </c>
      <c r="I79" s="22">
        <f>VLOOKUP(C79,CC!$C$5:$AJ$49,34,0)</f>
        <v>27</v>
      </c>
      <c r="J79" s="22"/>
      <c r="K79" s="22"/>
      <c r="L79" s="22"/>
      <c r="M79" s="22"/>
      <c r="N79" s="22">
        <f t="shared" si="1"/>
        <v>3889038.4615384615</v>
      </c>
      <c r="O79" s="22">
        <f>VLOOKUP(C79,'Công tổng'!$C$53:$BY$67,66,0)</f>
        <v>0</v>
      </c>
      <c r="P79" s="106">
        <f t="shared" si="2"/>
        <v>3889038.4615384615</v>
      </c>
      <c r="Q79" s="3"/>
      <c r="R79" s="3"/>
      <c r="S79" s="3"/>
    </row>
    <row r="80" spans="1:19">
      <c r="A80" s="3">
        <v>65</v>
      </c>
      <c r="B80" s="3" t="s">
        <v>182</v>
      </c>
      <c r="C80" s="3" t="s">
        <v>88</v>
      </c>
      <c r="D80" s="3" t="s">
        <v>207</v>
      </c>
      <c r="E80" s="22">
        <f t="shared" si="3"/>
        <v>3100000</v>
      </c>
      <c r="F80" s="28" t="s">
        <v>236</v>
      </c>
      <c r="G80" s="28">
        <v>1</v>
      </c>
      <c r="H80" s="22">
        <f>SUMIFS(Sheet2!$C$1:$C$81,Sheet2!$A$1:$A$81,BLuong!F80,Sheet2!$B$1:$B$81,BLuong!G80)*1000</f>
        <v>3745000</v>
      </c>
      <c r="I80" s="22">
        <f>VLOOKUP(C80,CC!$C$5:$AJ$49,34,0)</f>
        <v>27</v>
      </c>
      <c r="J80" s="22"/>
      <c r="K80" s="22"/>
      <c r="L80" s="22"/>
      <c r="M80" s="22"/>
      <c r="N80" s="22">
        <f t="shared" si="1"/>
        <v>3889038.4615384615</v>
      </c>
      <c r="O80" s="22">
        <f>VLOOKUP(C80,'Công tổng'!$C$53:$BY$67,66,0)</f>
        <v>0</v>
      </c>
      <c r="P80" s="106">
        <f t="shared" si="2"/>
        <v>3889038.4615384615</v>
      </c>
      <c r="Q80" s="3"/>
      <c r="R80" s="3"/>
      <c r="S80" s="3"/>
    </row>
    <row r="81" spans="1:19">
      <c r="A81" s="3">
        <v>66</v>
      </c>
      <c r="B81" s="3" t="s">
        <v>183</v>
      </c>
      <c r="C81" s="3" t="s">
        <v>81</v>
      </c>
      <c r="D81" s="3" t="s">
        <v>207</v>
      </c>
      <c r="E81" s="22">
        <f t="shared" si="3"/>
        <v>3100000</v>
      </c>
      <c r="F81" s="28" t="s">
        <v>236</v>
      </c>
      <c r="G81" s="28">
        <v>1</v>
      </c>
      <c r="H81" s="22">
        <f>SUMIFS(Sheet2!$C$1:$C$81,Sheet2!$A$1:$A$81,BLuong!F81,Sheet2!$B$1:$B$81,BLuong!G81)*1000</f>
        <v>3745000</v>
      </c>
      <c r="I81" s="22" t="e">
        <f>VLOOKUP(C81,CC!$C$5:$AJ$49,34,0)</f>
        <v>#N/A</v>
      </c>
      <c r="J81" s="22"/>
      <c r="K81" s="22"/>
      <c r="L81" s="22"/>
      <c r="M81" s="22"/>
      <c r="N81" s="22" t="e">
        <f t="shared" si="1"/>
        <v>#N/A</v>
      </c>
      <c r="O81" s="22" t="e">
        <f>VLOOKUP(C81,'Công tổng'!$C$53:$BY$67,66,0)</f>
        <v>#N/A</v>
      </c>
      <c r="P81" s="106" t="e">
        <f t="shared" si="2"/>
        <v>#N/A</v>
      </c>
      <c r="Q81" s="3"/>
      <c r="R81" s="3"/>
      <c r="S81" s="3"/>
    </row>
    <row r="82" spans="1:19" s="2" customFormat="1">
      <c r="A82" s="23"/>
      <c r="B82" s="23"/>
      <c r="C82" s="23"/>
      <c r="D82" s="23"/>
      <c r="E82" s="25"/>
      <c r="F82" s="29"/>
      <c r="G82" s="29"/>
      <c r="H82" s="34"/>
      <c r="I82" s="105"/>
      <c r="J82" s="105"/>
      <c r="K82" s="105"/>
      <c r="L82" s="105"/>
      <c r="M82" s="105"/>
      <c r="N82" s="34"/>
      <c r="O82" s="34"/>
      <c r="P82" s="34"/>
      <c r="Q82" s="23"/>
      <c r="R82" s="23"/>
      <c r="S82" s="23"/>
    </row>
    <row r="83" spans="1:19">
      <c r="A83" s="3">
        <v>67</v>
      </c>
      <c r="B83" s="3" t="s">
        <v>184</v>
      </c>
      <c r="C83" s="3" t="s">
        <v>83</v>
      </c>
      <c r="D83" s="3" t="s">
        <v>207</v>
      </c>
      <c r="E83" s="22">
        <f t="shared" si="3"/>
        <v>3100000</v>
      </c>
      <c r="F83" s="28" t="s">
        <v>236</v>
      </c>
      <c r="G83" s="28">
        <v>1</v>
      </c>
      <c r="H83" s="22">
        <f>SUMIFS(Sheet2!$C$1:$C$81,Sheet2!$A$1:$A$81,BLuong!F83,Sheet2!$B$1:$B$81,BLuong!G83)*1000</f>
        <v>3745000</v>
      </c>
      <c r="I83" s="22" t="e">
        <f>VLOOKUP(C83,CC!$C$5:$AJ$49,34,0)</f>
        <v>#N/A</v>
      </c>
      <c r="J83" s="22"/>
      <c r="K83" s="22"/>
      <c r="L83" s="22"/>
      <c r="M83" s="22"/>
      <c r="N83" s="22" t="e">
        <f t="shared" si="1"/>
        <v>#N/A</v>
      </c>
      <c r="O83" s="22" t="e">
        <f>VLOOKUP(C83,'Công tổng'!$C$53:$BY$67,66,0)</f>
        <v>#N/A</v>
      </c>
      <c r="P83" s="106" t="e">
        <f t="shared" si="2"/>
        <v>#N/A</v>
      </c>
      <c r="Q83" s="3"/>
      <c r="R83" s="3"/>
      <c r="S83" s="3"/>
    </row>
    <row r="84" spans="1:19">
      <c r="A84" s="3">
        <v>68</v>
      </c>
      <c r="B84" s="3" t="s">
        <v>185</v>
      </c>
      <c r="C84" s="3" t="s">
        <v>84</v>
      </c>
      <c r="D84" s="3" t="s">
        <v>207</v>
      </c>
      <c r="E84" s="22">
        <f t="shared" si="3"/>
        <v>3100000</v>
      </c>
      <c r="F84" s="28" t="s">
        <v>236</v>
      </c>
      <c r="G84" s="28">
        <v>1</v>
      </c>
      <c r="H84" s="22">
        <f>SUMIFS(Sheet2!$C$1:$C$81,Sheet2!$A$1:$A$81,BLuong!F84,Sheet2!$B$1:$B$81,BLuong!G84)*1000</f>
        <v>3745000</v>
      </c>
      <c r="I84" s="22" t="e">
        <f>VLOOKUP(C84,CC!$C$5:$AJ$49,34,0)</f>
        <v>#N/A</v>
      </c>
      <c r="J84" s="22"/>
      <c r="K84" s="22"/>
      <c r="L84" s="22"/>
      <c r="M84" s="22"/>
      <c r="N84" s="22" t="e">
        <f t="shared" si="1"/>
        <v>#N/A</v>
      </c>
      <c r="O84" s="22" t="e">
        <f>VLOOKUP(C84,'Công tổng'!$C$53:$BY$67,66,0)</f>
        <v>#N/A</v>
      </c>
      <c r="P84" s="106" t="e">
        <f t="shared" si="2"/>
        <v>#N/A</v>
      </c>
      <c r="Q84" s="3"/>
      <c r="R84" s="3"/>
      <c r="S84" s="3"/>
    </row>
    <row r="85" spans="1:19">
      <c r="A85" s="3">
        <v>69</v>
      </c>
      <c r="B85" s="3" t="s">
        <v>186</v>
      </c>
      <c r="C85" s="3" t="s">
        <v>85</v>
      </c>
      <c r="D85" s="3" t="s">
        <v>207</v>
      </c>
      <c r="E85" s="22">
        <f t="shared" si="3"/>
        <v>3100000</v>
      </c>
      <c r="F85" s="28" t="s">
        <v>236</v>
      </c>
      <c r="G85" s="28">
        <v>1</v>
      </c>
      <c r="H85" s="22">
        <f>SUMIFS(Sheet2!$C$1:$C$81,Sheet2!$A$1:$A$81,BLuong!F85,Sheet2!$B$1:$B$81,BLuong!G85)*1000</f>
        <v>3745000</v>
      </c>
      <c r="I85" s="22" t="e">
        <f>VLOOKUP(C85,CC!$C$5:$AJ$49,34,0)</f>
        <v>#N/A</v>
      </c>
      <c r="J85" s="22"/>
      <c r="K85" s="22"/>
      <c r="L85" s="22"/>
      <c r="M85" s="22"/>
      <c r="N85" s="22" t="e">
        <f t="shared" si="1"/>
        <v>#N/A</v>
      </c>
      <c r="O85" s="22" t="e">
        <f>VLOOKUP(C85,'Công tổng'!$C$53:$BY$67,66,0)</f>
        <v>#N/A</v>
      </c>
      <c r="P85" s="106" t="e">
        <f t="shared" si="2"/>
        <v>#N/A</v>
      </c>
      <c r="Q85" s="3"/>
      <c r="R85" s="3"/>
      <c r="S85" s="3"/>
    </row>
    <row r="86" spans="1:19">
      <c r="A86" s="3">
        <v>70</v>
      </c>
      <c r="B86" s="3" t="s">
        <v>187</v>
      </c>
      <c r="C86" s="3" t="s">
        <v>239</v>
      </c>
      <c r="D86" s="3" t="s">
        <v>207</v>
      </c>
      <c r="E86" s="22">
        <f t="shared" si="3"/>
        <v>3100000</v>
      </c>
      <c r="F86" s="28" t="s">
        <v>236</v>
      </c>
      <c r="G86" s="28">
        <v>1</v>
      </c>
      <c r="H86" s="22">
        <f>SUMIFS(Sheet2!$C$1:$C$81,Sheet2!$A$1:$A$81,BLuong!F86,Sheet2!$B$1:$B$81,BLuong!G86)*1000</f>
        <v>3745000</v>
      </c>
      <c r="I86" s="22">
        <f>VLOOKUP(C86,CC!$C$5:$AJ$49,34,0)</f>
        <v>27</v>
      </c>
      <c r="J86" s="22"/>
      <c r="K86" s="22"/>
      <c r="L86" s="22"/>
      <c r="M86" s="22"/>
      <c r="N86" s="22">
        <f t="shared" si="1"/>
        <v>3889038.4615384615</v>
      </c>
      <c r="O86" s="22" t="e">
        <f>VLOOKUP(C86,'Công tổng'!$C$53:$BY$67,66,0)</f>
        <v>#N/A</v>
      </c>
      <c r="P86" s="106" t="e">
        <f t="shared" si="2"/>
        <v>#N/A</v>
      </c>
      <c r="Q86" s="3"/>
      <c r="R86" s="3"/>
      <c r="S86" s="3"/>
    </row>
    <row r="87" spans="1:19">
      <c r="A87" s="3">
        <v>71</v>
      </c>
      <c r="B87" s="3" t="s">
        <v>188</v>
      </c>
      <c r="C87" s="3" t="s">
        <v>86</v>
      </c>
      <c r="D87" s="3" t="s">
        <v>207</v>
      </c>
      <c r="E87" s="22">
        <f t="shared" si="3"/>
        <v>3100000</v>
      </c>
      <c r="F87" s="28" t="s">
        <v>236</v>
      </c>
      <c r="G87" s="28">
        <v>1</v>
      </c>
      <c r="H87" s="22">
        <f>SUMIFS(Sheet2!$C$1:$C$81,Sheet2!$A$1:$A$81,BLuong!F87,Sheet2!$B$1:$B$81,BLuong!G87)*1000</f>
        <v>3745000</v>
      </c>
      <c r="I87" s="22">
        <f>VLOOKUP(C87,CC!$C$5:$AJ$49,34,0)</f>
        <v>27</v>
      </c>
      <c r="J87" s="22"/>
      <c r="K87" s="22"/>
      <c r="L87" s="22"/>
      <c r="M87" s="22"/>
      <c r="N87" s="22">
        <f t="shared" si="1"/>
        <v>3889038.4615384615</v>
      </c>
      <c r="O87" s="22" t="e">
        <f>VLOOKUP(C87,'Công tổng'!$C$53:$BY$67,66,0)</f>
        <v>#N/A</v>
      </c>
      <c r="P87" s="106" t="e">
        <f t="shared" si="2"/>
        <v>#N/A</v>
      </c>
      <c r="Q87" s="3"/>
      <c r="R87" s="3"/>
      <c r="S87" s="3"/>
    </row>
    <row r="88" spans="1:19">
      <c r="A88" s="3">
        <v>72</v>
      </c>
      <c r="B88" s="3" t="s">
        <v>189</v>
      </c>
      <c r="C88" s="3" t="s">
        <v>90</v>
      </c>
      <c r="D88" s="3" t="s">
        <v>207</v>
      </c>
      <c r="E88" s="22">
        <f t="shared" si="3"/>
        <v>3100000</v>
      </c>
      <c r="F88" s="28" t="s">
        <v>236</v>
      </c>
      <c r="G88" s="28">
        <v>1</v>
      </c>
      <c r="H88" s="22">
        <f>SUMIFS(Sheet2!$C$1:$C$81,Sheet2!$A$1:$A$81,BLuong!F88,Sheet2!$B$1:$B$81,BLuong!G88)*1000</f>
        <v>3745000</v>
      </c>
      <c r="I88" s="22" t="e">
        <f>VLOOKUP(C88,CC!$C$5:$AJ$49,34,0)</f>
        <v>#N/A</v>
      </c>
      <c r="J88" s="22"/>
      <c r="K88" s="22"/>
      <c r="L88" s="22"/>
      <c r="M88" s="22"/>
      <c r="N88" s="22" t="e">
        <f t="shared" si="1"/>
        <v>#N/A</v>
      </c>
      <c r="O88" s="22" t="e">
        <f>VLOOKUP(C88,'Công tổng'!$C$53:$BY$67,66,0)</f>
        <v>#N/A</v>
      </c>
      <c r="P88" s="106" t="e">
        <f t="shared" si="2"/>
        <v>#N/A</v>
      </c>
      <c r="Q88" s="3"/>
      <c r="R88" s="3"/>
      <c r="S88" s="3"/>
    </row>
    <row r="89" spans="1:19">
      <c r="A89" s="3">
        <v>73</v>
      </c>
      <c r="B89" s="3" t="s">
        <v>190</v>
      </c>
      <c r="C89" s="3" t="s">
        <v>91</v>
      </c>
      <c r="D89" s="3" t="s">
        <v>207</v>
      </c>
      <c r="E89" s="22">
        <f t="shared" si="3"/>
        <v>3100000</v>
      </c>
      <c r="F89" s="28" t="s">
        <v>236</v>
      </c>
      <c r="G89" s="28">
        <v>1</v>
      </c>
      <c r="H89" s="22">
        <f>SUMIFS(Sheet2!$C$1:$C$81,Sheet2!$A$1:$A$81,BLuong!F89,Sheet2!$B$1:$B$81,BLuong!G89)*1000</f>
        <v>3745000</v>
      </c>
      <c r="I89" s="22">
        <f>VLOOKUP(C89,CC!$C$5:$AJ$49,34,0)</f>
        <v>27</v>
      </c>
      <c r="J89" s="22"/>
      <c r="K89" s="22"/>
      <c r="L89" s="22"/>
      <c r="M89" s="22"/>
      <c r="N89" s="22">
        <f t="shared" si="1"/>
        <v>3889038.4615384615</v>
      </c>
      <c r="O89" s="22">
        <f>VLOOKUP(C89,'Công tổng'!$C$53:$BY$67,66,0)</f>
        <v>0</v>
      </c>
      <c r="P89" s="106">
        <f t="shared" si="2"/>
        <v>3889038.4615384615</v>
      </c>
      <c r="Q89" s="3"/>
      <c r="R89" s="3"/>
      <c r="S89" s="3"/>
    </row>
    <row r="90" spans="1:19">
      <c r="A90" s="3">
        <v>74</v>
      </c>
      <c r="B90" s="3" t="s">
        <v>191</v>
      </c>
      <c r="C90" s="3" t="s">
        <v>92</v>
      </c>
      <c r="D90" s="3" t="s">
        <v>207</v>
      </c>
      <c r="E90" s="22">
        <f t="shared" si="3"/>
        <v>3100000</v>
      </c>
      <c r="F90" s="28" t="s">
        <v>236</v>
      </c>
      <c r="G90" s="28">
        <v>1</v>
      </c>
      <c r="H90" s="22">
        <f>SUMIFS(Sheet2!$C$1:$C$81,Sheet2!$A$1:$A$81,BLuong!F90,Sheet2!$B$1:$B$81,BLuong!G90)*1000</f>
        <v>3745000</v>
      </c>
      <c r="I90" s="22" t="e">
        <f>VLOOKUP(C90,CC!$C$5:$AJ$49,34,0)</f>
        <v>#N/A</v>
      </c>
      <c r="J90" s="22"/>
      <c r="K90" s="22"/>
      <c r="L90" s="22"/>
      <c r="M90" s="22"/>
      <c r="N90" s="22" t="e">
        <f t="shared" si="1"/>
        <v>#N/A</v>
      </c>
      <c r="O90" s="22" t="e">
        <f>VLOOKUP(C90,'Công tổng'!$C$53:$BY$67,66,0)</f>
        <v>#N/A</v>
      </c>
      <c r="P90" s="106" t="e">
        <f t="shared" si="2"/>
        <v>#N/A</v>
      </c>
      <c r="Q90" s="3"/>
      <c r="R90" s="3"/>
      <c r="S90" s="3"/>
    </row>
    <row r="91" spans="1:19">
      <c r="A91" s="3">
        <v>75</v>
      </c>
      <c r="B91" s="3" t="s">
        <v>192</v>
      </c>
      <c r="C91" s="3" t="s">
        <v>240</v>
      </c>
      <c r="D91" s="3" t="s">
        <v>207</v>
      </c>
      <c r="E91" s="22">
        <f t="shared" si="3"/>
        <v>3100000</v>
      </c>
      <c r="F91" s="28" t="s">
        <v>236</v>
      </c>
      <c r="G91" s="28">
        <v>1</v>
      </c>
      <c r="H91" s="22">
        <f>SUMIFS(Sheet2!$C$1:$C$81,Sheet2!$A$1:$A$81,BLuong!F91,Sheet2!$B$1:$B$81,BLuong!G91)*1000</f>
        <v>3745000</v>
      </c>
      <c r="I91" s="22" t="e">
        <f>VLOOKUP(C91,CC!$C$5:$AJ$49,34,0)</f>
        <v>#N/A</v>
      </c>
      <c r="J91" s="22"/>
      <c r="K91" s="22"/>
      <c r="L91" s="22"/>
      <c r="M91" s="22"/>
      <c r="N91" s="22" t="e">
        <f t="shared" si="1"/>
        <v>#N/A</v>
      </c>
      <c r="O91" s="22" t="e">
        <f>VLOOKUP(C91,'Công tổng'!$C$53:$BY$67,66,0)</f>
        <v>#N/A</v>
      </c>
      <c r="P91" s="106" t="e">
        <f t="shared" si="2"/>
        <v>#N/A</v>
      </c>
      <c r="Q91" s="3"/>
      <c r="R91" s="3"/>
      <c r="S91" s="3"/>
    </row>
    <row r="92" spans="1:19">
      <c r="A92" s="3">
        <v>76</v>
      </c>
      <c r="B92" s="3" t="s">
        <v>193</v>
      </c>
      <c r="C92" s="3" t="s">
        <v>369</v>
      </c>
      <c r="D92" s="3" t="s">
        <v>207</v>
      </c>
      <c r="E92" s="22">
        <f t="shared" si="3"/>
        <v>3100000</v>
      </c>
      <c r="F92" s="28" t="s">
        <v>236</v>
      </c>
      <c r="G92" s="28">
        <v>1</v>
      </c>
      <c r="H92" s="22">
        <f>SUMIFS(Sheet2!$C$1:$C$81,Sheet2!$A$1:$A$81,BLuong!F92,Sheet2!$B$1:$B$81,BLuong!G92)*1000</f>
        <v>3745000</v>
      </c>
      <c r="I92" s="22">
        <f>VLOOKUP(C92,CC!$C$5:$AJ$49,34,0)</f>
        <v>27</v>
      </c>
      <c r="J92" s="22"/>
      <c r="K92" s="22"/>
      <c r="L92" s="22"/>
      <c r="M92" s="22"/>
      <c r="N92" s="22">
        <f t="shared" si="1"/>
        <v>3889038.4615384615</v>
      </c>
      <c r="O92" s="22">
        <f>VLOOKUP(C92,'Công tổng'!$C$53:$BY$67,66,0)</f>
        <v>0</v>
      </c>
      <c r="P92" s="106">
        <f t="shared" si="2"/>
        <v>3889038.4615384615</v>
      </c>
      <c r="Q92" s="3"/>
      <c r="R92" s="3"/>
      <c r="S92" s="3"/>
    </row>
    <row r="93" spans="1:19">
      <c r="A93" s="3">
        <v>77</v>
      </c>
      <c r="B93" s="3" t="s">
        <v>194</v>
      </c>
      <c r="C93" s="3" t="s">
        <v>93</v>
      </c>
      <c r="D93" s="3" t="s">
        <v>207</v>
      </c>
      <c r="E93" s="22">
        <f t="shared" si="3"/>
        <v>3100000</v>
      </c>
      <c r="F93" s="28" t="s">
        <v>236</v>
      </c>
      <c r="G93" s="28">
        <v>1</v>
      </c>
      <c r="H93" s="22">
        <f>SUMIFS(Sheet2!$C$1:$C$81,Sheet2!$A$1:$A$81,BLuong!F93,Sheet2!$B$1:$B$81,BLuong!G93)*1000</f>
        <v>3745000</v>
      </c>
      <c r="I93" s="22">
        <f>VLOOKUP(C93,CC!$C$5:$AJ$49,34,0)</f>
        <v>27</v>
      </c>
      <c r="J93" s="22"/>
      <c r="K93" s="22"/>
      <c r="L93" s="22"/>
      <c r="M93" s="22"/>
      <c r="N93" s="22">
        <f t="shared" si="1"/>
        <v>3889038.4615384615</v>
      </c>
      <c r="O93" s="22" t="e">
        <f>VLOOKUP(C93,'Công tổng'!$C$53:$BY$67,66,0)</f>
        <v>#N/A</v>
      </c>
      <c r="P93" s="106" t="e">
        <f t="shared" si="2"/>
        <v>#N/A</v>
      </c>
      <c r="Q93" s="3"/>
      <c r="R93" s="3"/>
      <c r="S93" s="3"/>
    </row>
    <row r="94" spans="1:19">
      <c r="A94" s="3">
        <v>78</v>
      </c>
      <c r="B94" s="3" t="s">
        <v>195</v>
      </c>
      <c r="C94" s="3" t="s">
        <v>80</v>
      </c>
      <c r="D94" s="3" t="s">
        <v>207</v>
      </c>
      <c r="E94" s="22">
        <f t="shared" si="3"/>
        <v>3100000</v>
      </c>
      <c r="F94" s="28" t="s">
        <v>236</v>
      </c>
      <c r="G94" s="28">
        <v>1</v>
      </c>
      <c r="H94" s="22">
        <f>SUMIFS(Sheet2!$C$1:$C$81,Sheet2!$A$1:$A$81,BLuong!F94,Sheet2!$B$1:$B$81,BLuong!G94)*1000</f>
        <v>3745000</v>
      </c>
      <c r="I94" s="22">
        <f>VLOOKUP(C94,CC!$C$5:$AJ$49,34,0)</f>
        <v>27</v>
      </c>
      <c r="J94" s="22"/>
      <c r="K94" s="22"/>
      <c r="L94" s="22"/>
      <c r="M94" s="22"/>
      <c r="N94" s="22">
        <f t="shared" si="1"/>
        <v>3889038.4615384615</v>
      </c>
      <c r="O94" s="22" t="e">
        <f>VLOOKUP(C94,'Công tổng'!$C$53:$BY$67,66,0)</f>
        <v>#N/A</v>
      </c>
      <c r="P94" s="106" t="e">
        <f t="shared" si="2"/>
        <v>#N/A</v>
      </c>
      <c r="Q94" s="3"/>
      <c r="R94" s="3"/>
      <c r="S94" s="3"/>
    </row>
    <row r="95" spans="1:19">
      <c r="A95" s="3">
        <v>79</v>
      </c>
      <c r="B95" s="3" t="s">
        <v>196</v>
      </c>
      <c r="C95" s="3" t="s">
        <v>78</v>
      </c>
      <c r="D95" s="3" t="s">
        <v>207</v>
      </c>
      <c r="E95" s="22">
        <f t="shared" si="3"/>
        <v>3100000</v>
      </c>
      <c r="F95" s="28" t="s">
        <v>236</v>
      </c>
      <c r="G95" s="28">
        <v>1</v>
      </c>
      <c r="H95" s="22">
        <f>SUMIFS(Sheet2!$C$1:$C$81,Sheet2!$A$1:$A$81,BLuong!F95,Sheet2!$B$1:$B$81,BLuong!G95)*1000</f>
        <v>3745000</v>
      </c>
      <c r="I95" s="22">
        <f>VLOOKUP(C95,CC!$C$5:$AJ$49,34,0)</f>
        <v>27</v>
      </c>
      <c r="J95" s="22"/>
      <c r="K95" s="22"/>
      <c r="L95" s="22"/>
      <c r="M95" s="22"/>
      <c r="N95" s="22">
        <f t="shared" si="1"/>
        <v>3889038.4615384615</v>
      </c>
      <c r="O95" s="22" t="e">
        <f>VLOOKUP(C95,'Công tổng'!$C$53:$BY$67,66,0)</f>
        <v>#N/A</v>
      </c>
      <c r="P95" s="106" t="e">
        <f t="shared" si="2"/>
        <v>#N/A</v>
      </c>
      <c r="Q95" s="3"/>
      <c r="R95" s="3"/>
      <c r="S95" s="3"/>
    </row>
    <row r="96" spans="1:19">
      <c r="A96" s="3">
        <v>80</v>
      </c>
      <c r="B96" s="3" t="s">
        <v>197</v>
      </c>
      <c r="C96" s="3" t="s">
        <v>82</v>
      </c>
      <c r="D96" s="3" t="s">
        <v>207</v>
      </c>
      <c r="E96" s="22">
        <f t="shared" si="3"/>
        <v>3100000</v>
      </c>
      <c r="F96" s="28" t="s">
        <v>236</v>
      </c>
      <c r="G96" s="28">
        <v>1</v>
      </c>
      <c r="H96" s="22">
        <f>SUMIFS(Sheet2!$C$1:$C$81,Sheet2!$A$1:$A$81,BLuong!F96,Sheet2!$B$1:$B$81,BLuong!G96)*1000</f>
        <v>3745000</v>
      </c>
      <c r="I96" s="22" t="e">
        <f>VLOOKUP(C96,CC!$C$5:$AJ$49,34,0)</f>
        <v>#N/A</v>
      </c>
      <c r="J96" s="22"/>
      <c r="K96" s="22"/>
      <c r="L96" s="22"/>
      <c r="M96" s="22"/>
      <c r="N96" s="22" t="e">
        <f t="shared" si="1"/>
        <v>#N/A</v>
      </c>
      <c r="O96" s="22" t="e">
        <f>VLOOKUP(C96,'Công tổng'!$C$53:$BY$67,66,0)</f>
        <v>#N/A</v>
      </c>
      <c r="P96" s="106" t="e">
        <f t="shared" si="2"/>
        <v>#N/A</v>
      </c>
      <c r="Q96" s="3"/>
      <c r="R96" s="3"/>
      <c r="S96" s="3"/>
    </row>
    <row r="97" spans="1:19">
      <c r="A97" s="3">
        <v>81</v>
      </c>
      <c r="B97" s="3" t="s">
        <v>198</v>
      </c>
      <c r="C97" s="3" t="s">
        <v>79</v>
      </c>
      <c r="D97" s="3" t="s">
        <v>207</v>
      </c>
      <c r="E97" s="22">
        <f t="shared" si="3"/>
        <v>3100000</v>
      </c>
      <c r="F97" s="28" t="s">
        <v>236</v>
      </c>
      <c r="G97" s="28">
        <v>1</v>
      </c>
      <c r="H97" s="22">
        <f>SUMIFS(Sheet2!$C$1:$C$81,Sheet2!$A$1:$A$81,BLuong!F97,Sheet2!$B$1:$B$81,BLuong!G97)*1000</f>
        <v>3745000</v>
      </c>
      <c r="I97" s="22" t="e">
        <f>VLOOKUP(C97,CC!$C$5:$AJ$49,34,0)</f>
        <v>#N/A</v>
      </c>
      <c r="J97" s="22"/>
      <c r="K97" s="22"/>
      <c r="L97" s="22"/>
      <c r="M97" s="22"/>
      <c r="N97" s="22" t="e">
        <f t="shared" si="1"/>
        <v>#N/A</v>
      </c>
      <c r="O97" s="22" t="e">
        <f>VLOOKUP(C97,'Công tổng'!$C$53:$BY$67,66,0)</f>
        <v>#N/A</v>
      </c>
      <c r="P97" s="106" t="e">
        <f t="shared" si="2"/>
        <v>#N/A</v>
      </c>
      <c r="Q97" s="3"/>
      <c r="R97" s="3"/>
      <c r="S97" s="3"/>
    </row>
    <row r="98" spans="1:19">
      <c r="A98" s="3">
        <v>82</v>
      </c>
      <c r="B98" s="3" t="s">
        <v>199</v>
      </c>
      <c r="C98" s="3" t="s">
        <v>320</v>
      </c>
      <c r="D98" s="3" t="s">
        <v>207</v>
      </c>
      <c r="E98" s="22">
        <f t="shared" si="3"/>
        <v>3100000</v>
      </c>
      <c r="F98" s="28" t="s">
        <v>236</v>
      </c>
      <c r="G98" s="28">
        <v>1</v>
      </c>
      <c r="H98" s="22">
        <f>SUMIFS(Sheet2!$C$1:$C$81,Sheet2!$A$1:$A$81,BLuong!F98,Sheet2!$B$1:$B$81,BLuong!G98)*1000</f>
        <v>3745000</v>
      </c>
      <c r="I98" s="22" t="e">
        <f>VLOOKUP(C98,CC!$C$5:$AJ$49,34,0)</f>
        <v>#N/A</v>
      </c>
      <c r="J98" s="22"/>
      <c r="K98" s="22"/>
      <c r="L98" s="22"/>
      <c r="M98" s="22"/>
      <c r="N98" s="22" t="e">
        <f t="shared" si="1"/>
        <v>#N/A</v>
      </c>
      <c r="O98" s="22" t="e">
        <f>VLOOKUP(C98,'Công tổng'!$C$53:$BY$67,66,0)</f>
        <v>#N/A</v>
      </c>
      <c r="P98" s="106" t="e">
        <f t="shared" si="2"/>
        <v>#N/A</v>
      </c>
      <c r="Q98" s="3"/>
      <c r="R98" s="3"/>
      <c r="S98" s="3"/>
    </row>
    <row r="99" spans="1:19">
      <c r="A99" s="3">
        <v>83</v>
      </c>
      <c r="B99" s="3" t="s">
        <v>200</v>
      </c>
      <c r="C99" s="3" t="s">
        <v>321</v>
      </c>
      <c r="D99" s="3" t="s">
        <v>207</v>
      </c>
      <c r="E99" s="22">
        <f t="shared" si="3"/>
        <v>3100000</v>
      </c>
      <c r="F99" s="28" t="s">
        <v>236</v>
      </c>
      <c r="G99" s="28">
        <v>1</v>
      </c>
      <c r="H99" s="22">
        <f>SUMIFS(Sheet2!$C$1:$C$81,Sheet2!$A$1:$A$81,BLuong!F99,Sheet2!$B$1:$B$81,BLuong!G99)*1000</f>
        <v>3745000</v>
      </c>
      <c r="I99" s="22" t="e">
        <f>VLOOKUP(C99,CC!$C$5:$AJ$49,34,0)</f>
        <v>#N/A</v>
      </c>
      <c r="J99" s="22"/>
      <c r="K99" s="22"/>
      <c r="L99" s="22"/>
      <c r="M99" s="22"/>
      <c r="N99" s="22" t="e">
        <f t="shared" si="1"/>
        <v>#N/A</v>
      </c>
      <c r="O99" s="22" t="e">
        <f>VLOOKUP(C99,'Công tổng'!$C$53:$BY$67,66,0)</f>
        <v>#N/A</v>
      </c>
      <c r="P99" s="106" t="e">
        <f t="shared" si="2"/>
        <v>#N/A</v>
      </c>
      <c r="Q99" s="3"/>
      <c r="R99" s="3"/>
      <c r="S99" s="3"/>
    </row>
  </sheetData>
  <autoFilter ref="A4:E99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BD111"/>
  <sheetViews>
    <sheetView workbookViewId="0">
      <pane xSplit="3" ySplit="3" topLeftCell="AB88" activePane="bottomRight" state="frozen"/>
      <selection pane="topRight" activeCell="D1" sqref="D1"/>
      <selection pane="bottomLeft" activeCell="A4" sqref="A4"/>
      <selection pane="bottomRight" activeCell="BA98" sqref="BA98"/>
    </sheetView>
  </sheetViews>
  <sheetFormatPr defaultColWidth="9.109375" defaultRowHeight="15.6"/>
  <cols>
    <col min="1" max="1" width="4.5546875" style="196" customWidth="1"/>
    <col min="2" max="2" width="23.109375" style="196" customWidth="1"/>
    <col min="3" max="3" width="12.109375" style="542" customWidth="1"/>
    <col min="4" max="8" width="3.6640625" style="529" customWidth="1"/>
    <col min="9" max="9" width="4.109375" style="529" customWidth="1"/>
    <col min="10" max="15" width="3.6640625" style="529" customWidth="1"/>
    <col min="16" max="22" width="3.6640625" style="427" customWidth="1"/>
    <col min="23" max="23" width="3.6640625" style="590" customWidth="1"/>
    <col min="24" max="34" width="3.6640625" style="427" customWidth="1"/>
    <col min="35" max="35" width="3.6640625" style="590" customWidth="1"/>
    <col min="36" max="37" width="5.33203125" style="427" bestFit="1" customWidth="1"/>
    <col min="38" max="38" width="3.6640625" style="427" customWidth="1"/>
    <col min="39" max="48" width="4.44140625" style="427" customWidth="1"/>
    <col min="49" max="49" width="9.33203125" style="196" customWidth="1"/>
    <col min="50" max="50" width="10" style="196" customWidth="1"/>
    <col min="51" max="51" width="9.6640625" style="196" hidden="1" customWidth="1"/>
    <col min="52" max="53" width="7.6640625" style="196" customWidth="1"/>
    <col min="54" max="54" width="23.44140625" style="196" customWidth="1"/>
    <col min="55" max="55" width="19.33203125" style="196" customWidth="1"/>
    <col min="56" max="56" width="14.88671875" style="196" bestFit="1" customWidth="1"/>
    <col min="57" max="16384" width="9.109375" style="196"/>
  </cols>
  <sheetData>
    <row r="1" spans="1:56" ht="33" customHeight="1">
      <c r="A1" s="1006" t="s">
        <v>877</v>
      </c>
      <c r="B1" s="1006"/>
      <c r="C1" s="1006"/>
      <c r="D1" s="1006"/>
      <c r="E1" s="1006"/>
      <c r="F1" s="1006"/>
      <c r="G1" s="1006"/>
      <c r="H1" s="1006"/>
      <c r="I1" s="1006"/>
      <c r="J1" s="1006"/>
      <c r="K1" s="1006"/>
      <c r="L1" s="1006"/>
      <c r="M1" s="1006"/>
      <c r="N1" s="1006"/>
      <c r="O1" s="1006"/>
      <c r="P1" s="625"/>
      <c r="Q1" s="625"/>
      <c r="R1" s="625"/>
      <c r="S1" s="625"/>
      <c r="T1" s="625"/>
      <c r="U1" s="625"/>
      <c r="V1" s="625"/>
      <c r="W1" s="626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6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BC1" s="543">
        <f ca="1">NOW()</f>
        <v>43726.586823032405</v>
      </c>
      <c r="BD1" s="543"/>
    </row>
    <row r="2" spans="1:56" ht="21.75" customHeight="1">
      <c r="A2" s="1007" t="s">
        <v>0</v>
      </c>
      <c r="B2" s="1007" t="s">
        <v>704</v>
      </c>
      <c r="C2" s="1007" t="s">
        <v>706</v>
      </c>
      <c r="D2" s="1015" t="s">
        <v>705</v>
      </c>
      <c r="E2" s="1015"/>
      <c r="F2" s="1015"/>
      <c r="G2" s="1015"/>
      <c r="H2" s="1015"/>
      <c r="I2" s="1015"/>
      <c r="J2" s="1015"/>
      <c r="K2" s="1015"/>
      <c r="L2" s="1015"/>
      <c r="M2" s="1015"/>
      <c r="N2" s="1015"/>
      <c r="O2" s="1015"/>
      <c r="P2" s="1009" t="s">
        <v>745</v>
      </c>
      <c r="Q2" s="1010"/>
      <c r="R2" s="1010"/>
      <c r="S2" s="1010"/>
      <c r="T2" s="1010"/>
      <c r="U2" s="1010"/>
      <c r="V2" s="1010"/>
      <c r="W2" s="1010"/>
      <c r="X2" s="1010"/>
      <c r="Y2" s="1010"/>
      <c r="Z2" s="1010"/>
      <c r="AA2" s="1011"/>
      <c r="AB2" s="1012" t="s">
        <v>773</v>
      </c>
      <c r="AC2" s="1013"/>
      <c r="AD2" s="1013"/>
      <c r="AE2" s="1013"/>
      <c r="AF2" s="1013"/>
      <c r="AG2" s="1013"/>
      <c r="AH2" s="1013"/>
      <c r="AI2" s="1013"/>
      <c r="AJ2" s="1013"/>
      <c r="AK2" s="1013"/>
      <c r="AL2" s="1013"/>
      <c r="AM2" s="1014"/>
      <c r="AN2" s="833"/>
      <c r="AO2" s="833"/>
      <c r="AP2" s="833"/>
      <c r="AQ2" s="833"/>
      <c r="AR2" s="833"/>
      <c r="AS2" s="833"/>
      <c r="AT2" s="833"/>
      <c r="AU2" s="833"/>
      <c r="AV2" s="833"/>
      <c r="AW2" s="1004" t="s">
        <v>726</v>
      </c>
      <c r="AX2" s="1004" t="s">
        <v>746</v>
      </c>
      <c r="AY2" s="1004" t="s">
        <v>772</v>
      </c>
      <c r="AZ2" s="1004" t="s">
        <v>772</v>
      </c>
      <c r="BA2" s="1004" t="s">
        <v>828</v>
      </c>
    </row>
    <row r="3" spans="1:56">
      <c r="A3" s="1008"/>
      <c r="B3" s="1008"/>
      <c r="C3" s="1008"/>
      <c r="D3" s="601">
        <v>1</v>
      </c>
      <c r="E3" s="601">
        <v>2</v>
      </c>
      <c r="F3" s="601">
        <v>3</v>
      </c>
      <c r="G3" s="601">
        <v>4</v>
      </c>
      <c r="H3" s="601">
        <v>5</v>
      </c>
      <c r="I3" s="601">
        <v>6</v>
      </c>
      <c r="J3" s="601">
        <v>7</v>
      </c>
      <c r="K3" s="601">
        <v>8</v>
      </c>
      <c r="L3" s="601">
        <v>9</v>
      </c>
      <c r="M3" s="601">
        <v>10</v>
      </c>
      <c r="N3" s="601">
        <v>11</v>
      </c>
      <c r="O3" s="601">
        <v>12</v>
      </c>
      <c r="P3" s="602">
        <v>1</v>
      </c>
      <c r="Q3" s="602">
        <v>2</v>
      </c>
      <c r="R3" s="602">
        <v>3</v>
      </c>
      <c r="S3" s="602">
        <v>4</v>
      </c>
      <c r="T3" s="602">
        <v>5</v>
      </c>
      <c r="U3" s="602">
        <v>6</v>
      </c>
      <c r="V3" s="602">
        <v>7</v>
      </c>
      <c r="W3" s="603">
        <v>8</v>
      </c>
      <c r="X3" s="602">
        <v>9</v>
      </c>
      <c r="Y3" s="602">
        <v>10</v>
      </c>
      <c r="Z3" s="602">
        <v>11</v>
      </c>
      <c r="AA3" s="602">
        <v>12</v>
      </c>
      <c r="AB3" s="683">
        <v>1</v>
      </c>
      <c r="AC3" s="683">
        <v>2</v>
      </c>
      <c r="AD3" s="683">
        <v>3</v>
      </c>
      <c r="AE3" s="683">
        <v>4</v>
      </c>
      <c r="AF3" s="683">
        <v>5</v>
      </c>
      <c r="AG3" s="683">
        <v>6</v>
      </c>
      <c r="AH3" s="683">
        <v>7</v>
      </c>
      <c r="AI3" s="684">
        <v>8</v>
      </c>
      <c r="AJ3" s="683">
        <v>9</v>
      </c>
      <c r="AK3" s="683">
        <v>10</v>
      </c>
      <c r="AL3" s="683">
        <v>11</v>
      </c>
      <c r="AM3" s="849">
        <v>12</v>
      </c>
      <c r="AN3" s="850">
        <v>1</v>
      </c>
      <c r="AO3" s="850">
        <v>2</v>
      </c>
      <c r="AP3" s="850">
        <v>3</v>
      </c>
      <c r="AQ3" s="850">
        <v>4</v>
      </c>
      <c r="AR3" s="850">
        <v>5</v>
      </c>
      <c r="AS3" s="850">
        <v>6</v>
      </c>
      <c r="AT3" s="850">
        <v>7</v>
      </c>
      <c r="AU3" s="932">
        <v>8</v>
      </c>
      <c r="AV3" s="850">
        <v>9</v>
      </c>
      <c r="AW3" s="1005"/>
      <c r="AX3" s="1005"/>
      <c r="AY3" s="1005"/>
      <c r="AZ3" s="1005"/>
      <c r="BA3" s="1005"/>
    </row>
    <row r="4" spans="1:56" s="197" customFormat="1" ht="18" customHeight="1">
      <c r="A4" s="535">
        <v>1</v>
      </c>
      <c r="B4" s="536" t="s">
        <v>723</v>
      </c>
      <c r="C4" s="605">
        <v>42578</v>
      </c>
      <c r="D4" s="627"/>
      <c r="E4" s="627"/>
      <c r="F4" s="627"/>
      <c r="G4" s="627"/>
      <c r="H4" s="627"/>
      <c r="I4" s="627"/>
      <c r="J4" s="627"/>
      <c r="K4" s="627"/>
      <c r="L4" s="627"/>
      <c r="M4" s="627"/>
      <c r="N4" s="627"/>
      <c r="O4" s="628"/>
      <c r="P4" s="629"/>
      <c r="Q4" s="629"/>
      <c r="R4" s="629"/>
      <c r="S4" s="629"/>
      <c r="T4" s="629"/>
      <c r="U4" s="629"/>
      <c r="V4" s="629"/>
      <c r="W4" s="630"/>
      <c r="X4" s="629"/>
      <c r="Y4" s="629"/>
      <c r="Z4" s="629"/>
      <c r="AA4" s="631"/>
      <c r="AB4" s="685"/>
      <c r="AC4" s="685"/>
      <c r="AD4" s="685"/>
      <c r="AE4" s="685"/>
      <c r="AF4" s="685"/>
      <c r="AG4" s="685"/>
      <c r="AH4" s="685"/>
      <c r="AI4" s="686"/>
      <c r="AJ4" s="685"/>
      <c r="AK4" s="685"/>
      <c r="AL4" s="836"/>
      <c r="AM4" s="851"/>
      <c r="AN4" s="852"/>
      <c r="AO4" s="858"/>
      <c r="AP4" s="858"/>
      <c r="AQ4" s="858"/>
      <c r="AR4" s="858"/>
      <c r="AS4" s="858"/>
      <c r="AT4" s="858"/>
      <c r="AU4" s="858"/>
      <c r="AV4" s="858"/>
      <c r="AW4" s="845">
        <f>SUM(D4:U4)</f>
        <v>0</v>
      </c>
      <c r="AX4" s="537">
        <f>SUM(V4:AG4)</f>
        <v>0</v>
      </c>
      <c r="AY4" s="537">
        <f>SUM(W4:AW4)</f>
        <v>0</v>
      </c>
      <c r="AZ4" s="537"/>
      <c r="BA4" s="537">
        <f t="shared" ref="BA4:BA35" si="0">SUM(AN4:AU4)</f>
        <v>0</v>
      </c>
      <c r="BB4" s="197" t="str">
        <f t="shared" ref="BB4:BB35" ca="1" si="1">DATEDIF(C4,$BC$1,"Y")&amp;"nam,"&amp;DATEDIF(C4,$BC$1,"YM")&amp;"thang,"&amp;DATEDIF(C4,$BC$1,"MD")&amp;"ngay."</f>
        <v>3nam,1thang,22ngay.</v>
      </c>
    </row>
    <row r="5" spans="1:56" s="197" customFormat="1" ht="18" customHeight="1">
      <c r="A5" s="535">
        <f>A4+1</f>
        <v>2</v>
      </c>
      <c r="B5" s="536" t="s">
        <v>62</v>
      </c>
      <c r="C5" s="605">
        <v>38078</v>
      </c>
      <c r="D5" s="606"/>
      <c r="E5" s="606">
        <v>1</v>
      </c>
      <c r="F5" s="606"/>
      <c r="G5" s="606">
        <v>1</v>
      </c>
      <c r="H5" s="606">
        <v>1</v>
      </c>
      <c r="I5" s="606"/>
      <c r="J5" s="606"/>
      <c r="K5" s="606">
        <v>2</v>
      </c>
      <c r="L5" s="606"/>
      <c r="M5" s="606">
        <v>1</v>
      </c>
      <c r="N5" s="606"/>
      <c r="O5" s="607"/>
      <c r="P5" s="538"/>
      <c r="Q5" s="538"/>
      <c r="R5" s="538"/>
      <c r="S5" s="538"/>
      <c r="T5" s="538"/>
      <c r="U5" s="538"/>
      <c r="V5" s="538"/>
      <c r="W5" s="584">
        <v>1</v>
      </c>
      <c r="X5" s="538"/>
      <c r="Y5" s="538"/>
      <c r="Z5" s="538"/>
      <c r="AA5" s="539"/>
      <c r="AB5" s="687"/>
      <c r="AC5" s="687"/>
      <c r="AD5" s="687">
        <v>1</v>
      </c>
      <c r="AE5" s="687">
        <v>2</v>
      </c>
      <c r="AF5" s="687">
        <v>6</v>
      </c>
      <c r="AG5" s="687"/>
      <c r="AH5" s="687"/>
      <c r="AI5" s="688"/>
      <c r="AJ5" s="687"/>
      <c r="AK5" s="687"/>
      <c r="AL5" s="837"/>
      <c r="AM5" s="851">
        <v>11</v>
      </c>
      <c r="AN5" s="852"/>
      <c r="AO5" s="858"/>
      <c r="AP5" s="858"/>
      <c r="AQ5" s="858"/>
      <c r="AR5" s="858"/>
      <c r="AS5" s="858"/>
      <c r="AT5" s="858"/>
      <c r="AU5" s="858"/>
      <c r="AV5" s="858"/>
      <c r="AW5" s="845">
        <f>SUM(D5:U5)</f>
        <v>6</v>
      </c>
      <c r="AX5" s="537">
        <f>SUM(V5:AG5)</f>
        <v>10</v>
      </c>
      <c r="AY5" s="537">
        <f>SUM(W5:AW5)</f>
        <v>27</v>
      </c>
      <c r="AZ5" s="537">
        <f>SUM(AG5:AM5)</f>
        <v>11</v>
      </c>
      <c r="BA5" s="537">
        <f t="shared" si="0"/>
        <v>0</v>
      </c>
      <c r="BB5" s="197" t="str">
        <f t="shared" ca="1" si="1"/>
        <v>15nam,5thang,17ngay.</v>
      </c>
    </row>
    <row r="6" spans="1:56" s="197" customFormat="1" ht="18" customHeight="1">
      <c r="A6" s="535">
        <f t="shared" ref="A6:A68" si="2">A5+1</f>
        <v>3</v>
      </c>
      <c r="B6" s="536" t="s">
        <v>63</v>
      </c>
      <c r="C6" s="605">
        <v>40868</v>
      </c>
      <c r="D6" s="606">
        <v>1</v>
      </c>
      <c r="E6" s="606">
        <v>2</v>
      </c>
      <c r="F6" s="606"/>
      <c r="G6" s="606"/>
      <c r="H6" s="606"/>
      <c r="I6" s="606">
        <v>3</v>
      </c>
      <c r="J6" s="606"/>
      <c r="K6" s="606">
        <v>2</v>
      </c>
      <c r="L6" s="606"/>
      <c r="M6" s="606"/>
      <c r="N6" s="606"/>
      <c r="O6" s="607"/>
      <c r="P6" s="538"/>
      <c r="Q6" s="538"/>
      <c r="R6" s="538"/>
      <c r="S6" s="538"/>
      <c r="T6" s="538">
        <v>6</v>
      </c>
      <c r="U6" s="538"/>
      <c r="V6" s="538"/>
      <c r="W6" s="584"/>
      <c r="X6" s="538"/>
      <c r="Y6" s="538"/>
      <c r="Z6" s="538"/>
      <c r="AA6" s="539"/>
      <c r="AB6" s="687"/>
      <c r="AC6" s="687"/>
      <c r="AD6" s="687"/>
      <c r="AE6" s="687"/>
      <c r="AF6" s="687"/>
      <c r="AG6" s="687"/>
      <c r="AH6" s="687"/>
      <c r="AI6" s="688">
        <v>2</v>
      </c>
      <c r="AJ6" s="687"/>
      <c r="AK6" s="687"/>
      <c r="AL6" s="837"/>
      <c r="AM6" s="851"/>
      <c r="AN6" s="852"/>
      <c r="AO6" s="858"/>
      <c r="AP6" s="858"/>
      <c r="AQ6" s="858"/>
      <c r="AR6" s="858"/>
      <c r="AS6" s="858"/>
      <c r="AT6" s="858"/>
      <c r="AU6" s="858"/>
      <c r="AV6" s="858"/>
      <c r="AW6" s="845">
        <f>SUM(D6:U6)</f>
        <v>14</v>
      </c>
      <c r="AX6" s="537">
        <f>SUM(V6:AG6)</f>
        <v>0</v>
      </c>
      <c r="AY6" s="537">
        <f>SUM(W6:AW6)</f>
        <v>16</v>
      </c>
      <c r="AZ6" s="537">
        <f>SUM(AH6:AM6)</f>
        <v>2</v>
      </c>
      <c r="BA6" s="537">
        <f t="shared" si="0"/>
        <v>0</v>
      </c>
      <c r="BB6" s="197" t="str">
        <f t="shared" ca="1" si="1"/>
        <v>7nam,9thang,28ngay.</v>
      </c>
    </row>
    <row r="7" spans="1:56" s="197" customFormat="1" ht="18" customHeight="1">
      <c r="A7" s="423">
        <f t="shared" si="2"/>
        <v>4</v>
      </c>
      <c r="B7" s="536" t="s">
        <v>64</v>
      </c>
      <c r="C7" s="605">
        <v>41715</v>
      </c>
      <c r="D7" s="606"/>
      <c r="E7" s="606"/>
      <c r="F7" s="606"/>
      <c r="G7" s="606"/>
      <c r="H7" s="606"/>
      <c r="I7" s="606"/>
      <c r="J7" s="606"/>
      <c r="K7" s="606">
        <v>1</v>
      </c>
      <c r="L7" s="606"/>
      <c r="M7" s="606"/>
      <c r="N7" s="606"/>
      <c r="O7" s="607"/>
      <c r="P7" s="538"/>
      <c r="Q7" s="538"/>
      <c r="R7" s="538"/>
      <c r="S7" s="538"/>
      <c r="T7" s="538"/>
      <c r="U7" s="538"/>
      <c r="V7" s="538"/>
      <c r="W7" s="584"/>
      <c r="X7" s="538"/>
      <c r="Y7" s="538"/>
      <c r="Z7" s="538"/>
      <c r="AA7" s="539"/>
      <c r="AB7" s="687"/>
      <c r="AC7" s="687"/>
      <c r="AD7" s="687">
        <v>5</v>
      </c>
      <c r="AE7" s="687"/>
      <c r="AF7" s="687"/>
      <c r="AG7" s="687"/>
      <c r="AH7" s="687"/>
      <c r="AI7" s="688"/>
      <c r="AJ7" s="687"/>
      <c r="AK7" s="687"/>
      <c r="AL7" s="837"/>
      <c r="AM7" s="851"/>
      <c r="AN7" s="852"/>
      <c r="AO7" s="858"/>
      <c r="AP7" s="858"/>
      <c r="AQ7" s="858"/>
      <c r="AR7" s="858"/>
      <c r="AS7" s="858"/>
      <c r="AT7" s="858"/>
      <c r="AU7" s="858"/>
      <c r="AV7" s="858"/>
      <c r="AW7" s="845">
        <f>SUM(D7:U7)</f>
        <v>1</v>
      </c>
      <c r="AX7" s="537">
        <f>SUM(V7:AG7)</f>
        <v>5</v>
      </c>
      <c r="AY7" s="537">
        <f>SUM(W7:AW7)</f>
        <v>6</v>
      </c>
      <c r="AZ7" s="537"/>
      <c r="BA7" s="537">
        <f t="shared" si="0"/>
        <v>0</v>
      </c>
      <c r="BB7" s="197" t="str">
        <f t="shared" ca="1" si="1"/>
        <v>5nam,6thang,1ngay.</v>
      </c>
    </row>
    <row r="8" spans="1:56" s="197" customFormat="1" ht="18" customHeight="1">
      <c r="A8" s="423">
        <f t="shared" si="2"/>
        <v>5</v>
      </c>
      <c r="B8" s="536" t="s">
        <v>65</v>
      </c>
      <c r="C8" s="605">
        <v>42086</v>
      </c>
      <c r="D8" s="606"/>
      <c r="E8" s="606"/>
      <c r="F8" s="606"/>
      <c r="G8" s="606"/>
      <c r="H8" s="606"/>
      <c r="I8" s="606"/>
      <c r="J8" s="606">
        <v>9</v>
      </c>
      <c r="K8" s="606">
        <v>2</v>
      </c>
      <c r="L8" s="606"/>
      <c r="M8" s="606"/>
      <c r="N8" s="606"/>
      <c r="O8" s="607"/>
      <c r="P8" s="538"/>
      <c r="Q8" s="538"/>
      <c r="R8" s="538"/>
      <c r="S8" s="538">
        <v>1</v>
      </c>
      <c r="T8" s="538">
        <v>6</v>
      </c>
      <c r="U8" s="538"/>
      <c r="V8" s="538"/>
      <c r="W8" s="584"/>
      <c r="X8" s="538"/>
      <c r="Y8" s="538"/>
      <c r="Z8" s="538">
        <v>3</v>
      </c>
      <c r="AA8" s="539"/>
      <c r="AB8" s="687">
        <v>3</v>
      </c>
      <c r="AC8" s="687"/>
      <c r="AD8" s="687">
        <v>3</v>
      </c>
      <c r="AE8" s="687">
        <v>1</v>
      </c>
      <c r="AF8" s="687"/>
      <c r="AG8" s="687"/>
      <c r="AH8" s="687"/>
      <c r="AI8" s="688">
        <v>4</v>
      </c>
      <c r="AJ8" s="687"/>
      <c r="AK8" s="687">
        <v>1</v>
      </c>
      <c r="AL8" s="837"/>
      <c r="AM8" s="851"/>
      <c r="AN8" s="852"/>
      <c r="AO8" s="858">
        <v>3</v>
      </c>
      <c r="AP8" s="858">
        <v>9</v>
      </c>
      <c r="AQ8" s="858"/>
      <c r="AR8" s="858"/>
      <c r="AS8" s="858"/>
      <c r="AT8" s="858"/>
      <c r="AU8" s="858"/>
      <c r="AV8" s="858"/>
      <c r="AW8" s="845">
        <f>SUM(H8:S8)</f>
        <v>12</v>
      </c>
      <c r="AX8" s="634">
        <f>SUM(T8:AC8)</f>
        <v>12</v>
      </c>
      <c r="AY8" s="537">
        <f>SUM(U8:AW8)</f>
        <v>39</v>
      </c>
      <c r="AZ8" s="537">
        <f>SUM(AC8:AO8)</f>
        <v>12</v>
      </c>
      <c r="BA8" s="537">
        <f t="shared" si="0"/>
        <v>12</v>
      </c>
      <c r="BB8" s="197" t="str">
        <f t="shared" ca="1" si="1"/>
        <v>4nam,5thang,26ngay.</v>
      </c>
    </row>
    <row r="9" spans="1:56" s="283" customFormat="1" ht="18" customHeight="1">
      <c r="A9" s="423">
        <f t="shared" si="2"/>
        <v>6</v>
      </c>
      <c r="B9" s="536" t="s">
        <v>362</v>
      </c>
      <c r="C9" s="605">
        <v>42139</v>
      </c>
      <c r="D9" s="608"/>
      <c r="E9" s="608"/>
      <c r="F9" s="608"/>
      <c r="G9" s="608"/>
      <c r="H9" s="608"/>
      <c r="I9" s="608"/>
      <c r="J9" s="608"/>
      <c r="K9" s="608"/>
      <c r="L9" s="608">
        <v>3</v>
      </c>
      <c r="M9" s="608">
        <v>4</v>
      </c>
      <c r="N9" s="608"/>
      <c r="O9" s="609"/>
      <c r="P9" s="540">
        <v>4</v>
      </c>
      <c r="Q9" s="540">
        <v>1</v>
      </c>
      <c r="R9" s="540">
        <v>2</v>
      </c>
      <c r="S9" s="540">
        <v>3</v>
      </c>
      <c r="T9" s="540"/>
      <c r="U9" s="540"/>
      <c r="V9" s="540"/>
      <c r="W9" s="585"/>
      <c r="X9" s="540"/>
      <c r="Y9" s="540"/>
      <c r="Z9" s="540">
        <v>1</v>
      </c>
      <c r="AA9" s="541"/>
      <c r="AB9" s="689"/>
      <c r="AC9" s="689">
        <v>3</v>
      </c>
      <c r="AD9" s="689"/>
      <c r="AE9" s="689">
        <v>3</v>
      </c>
      <c r="AF9" s="689">
        <v>3</v>
      </c>
      <c r="AG9" s="689"/>
      <c r="AH9" s="689"/>
      <c r="AI9" s="690">
        <v>4</v>
      </c>
      <c r="AJ9" s="689"/>
      <c r="AK9" s="689"/>
      <c r="AL9" s="838"/>
      <c r="AM9" s="853"/>
      <c r="AN9" s="854"/>
      <c r="AO9" s="859"/>
      <c r="AP9" s="859"/>
      <c r="AQ9" s="859"/>
      <c r="AR9" s="859"/>
      <c r="AS9" s="859"/>
      <c r="AT9" s="859"/>
      <c r="AU9" s="859"/>
      <c r="AV9" s="859"/>
      <c r="AW9" s="845">
        <f>SUM(D9:Q9)</f>
        <v>12</v>
      </c>
      <c r="AX9" s="537">
        <f>SUM(R9:AE9)</f>
        <v>12</v>
      </c>
      <c r="AY9" s="537">
        <f>SUM(S9:AW9)</f>
        <v>29</v>
      </c>
      <c r="AZ9" s="537">
        <f>SUM(AF9:AM9)</f>
        <v>7</v>
      </c>
      <c r="BA9" s="537">
        <f t="shared" si="0"/>
        <v>0</v>
      </c>
      <c r="BB9" s="197" t="str">
        <f t="shared" ca="1" si="1"/>
        <v>4nam,4thang,3ngay.</v>
      </c>
    </row>
    <row r="10" spans="1:56" s="283" customFormat="1" ht="18" customHeight="1">
      <c r="A10" s="423">
        <f t="shared" si="2"/>
        <v>7</v>
      </c>
      <c r="B10" s="536" t="s">
        <v>32</v>
      </c>
      <c r="C10" s="605">
        <v>41877</v>
      </c>
      <c r="D10" s="608"/>
      <c r="E10" s="608"/>
      <c r="F10" s="608"/>
      <c r="G10" s="608"/>
      <c r="H10" s="608"/>
      <c r="I10" s="608"/>
      <c r="J10" s="608"/>
      <c r="K10" s="608">
        <v>2</v>
      </c>
      <c r="L10" s="608"/>
      <c r="M10" s="608">
        <v>1</v>
      </c>
      <c r="N10" s="608">
        <v>3</v>
      </c>
      <c r="O10" s="609"/>
      <c r="P10" s="540"/>
      <c r="Q10" s="540">
        <v>1</v>
      </c>
      <c r="R10" s="540"/>
      <c r="S10" s="540"/>
      <c r="T10" s="540"/>
      <c r="U10" s="540"/>
      <c r="V10" s="540"/>
      <c r="W10" s="585"/>
      <c r="X10" s="540">
        <v>1</v>
      </c>
      <c r="Y10" s="540"/>
      <c r="Z10" s="540">
        <v>1</v>
      </c>
      <c r="AA10" s="541"/>
      <c r="AB10" s="689"/>
      <c r="AC10" s="689"/>
      <c r="AD10" s="689"/>
      <c r="AE10" s="689"/>
      <c r="AF10" s="689"/>
      <c r="AG10" s="689"/>
      <c r="AH10" s="689"/>
      <c r="AI10" s="690">
        <v>1</v>
      </c>
      <c r="AJ10" s="800">
        <v>1.5</v>
      </c>
      <c r="AK10" s="689"/>
      <c r="AL10" s="838"/>
      <c r="AM10" s="853">
        <v>2</v>
      </c>
      <c r="AN10" s="854"/>
      <c r="AO10" s="859"/>
      <c r="AP10" s="859"/>
      <c r="AQ10" s="859"/>
      <c r="AR10" s="859"/>
      <c r="AS10" s="859"/>
      <c r="AT10" s="859"/>
      <c r="AU10" s="859"/>
      <c r="AV10" s="859"/>
      <c r="AW10" s="845">
        <f t="shared" ref="AW10:AW16" si="3">SUM(D10:U10)</f>
        <v>7</v>
      </c>
      <c r="AX10" s="537">
        <f t="shared" ref="AX10:AX16" si="4">SUM(V10:AG10)</f>
        <v>2</v>
      </c>
      <c r="AY10" s="537">
        <f t="shared" ref="AY10:AY16" si="5">SUM(W10:AW10)</f>
        <v>13.5</v>
      </c>
      <c r="AZ10" s="537">
        <f>SUM(AH10:AM10)</f>
        <v>4.5</v>
      </c>
      <c r="BA10" s="537">
        <f t="shared" si="0"/>
        <v>0</v>
      </c>
      <c r="BB10" s="197" t="str">
        <f t="shared" ca="1" si="1"/>
        <v>5nam,0thang,23ngay.</v>
      </c>
    </row>
    <row r="11" spans="1:56" s="197" customFormat="1" ht="18" customHeight="1">
      <c r="A11" s="423">
        <f t="shared" si="2"/>
        <v>8</v>
      </c>
      <c r="B11" s="536" t="s">
        <v>59</v>
      </c>
      <c r="C11" s="610" t="s">
        <v>727</v>
      </c>
      <c r="D11" s="606"/>
      <c r="E11" s="606"/>
      <c r="F11" s="606"/>
      <c r="G11" s="606"/>
      <c r="H11" s="606"/>
      <c r="I11" s="606"/>
      <c r="J11" s="606"/>
      <c r="K11" s="606"/>
      <c r="L11" s="606"/>
      <c r="M11" s="606"/>
      <c r="N11" s="606"/>
      <c r="O11" s="607"/>
      <c r="P11" s="538"/>
      <c r="Q11" s="538"/>
      <c r="R11" s="538"/>
      <c r="S11" s="538"/>
      <c r="T11" s="538"/>
      <c r="U11" s="538"/>
      <c r="V11" s="538"/>
      <c r="W11" s="584"/>
      <c r="X11" s="538"/>
      <c r="Y11" s="538"/>
      <c r="Z11" s="538"/>
      <c r="AA11" s="539"/>
      <c r="AB11" s="687"/>
      <c r="AC11" s="687">
        <v>2</v>
      </c>
      <c r="AD11" s="687"/>
      <c r="AE11" s="687"/>
      <c r="AF11" s="687"/>
      <c r="AG11" s="687"/>
      <c r="AH11" s="687"/>
      <c r="AI11" s="688"/>
      <c r="AJ11" s="687"/>
      <c r="AK11" s="687"/>
      <c r="AL11" s="837"/>
      <c r="AM11" s="851"/>
      <c r="AN11" s="852"/>
      <c r="AO11" s="858"/>
      <c r="AP11" s="858"/>
      <c r="AQ11" s="858"/>
      <c r="AR11" s="858"/>
      <c r="AS11" s="858"/>
      <c r="AT11" s="858"/>
      <c r="AU11" s="858"/>
      <c r="AV11" s="858"/>
      <c r="AW11" s="845">
        <f t="shared" si="3"/>
        <v>0</v>
      </c>
      <c r="AX11" s="537">
        <f t="shared" si="4"/>
        <v>2</v>
      </c>
      <c r="AY11" s="537">
        <f t="shared" si="5"/>
        <v>2</v>
      </c>
      <c r="AZ11" s="537"/>
      <c r="BA11" s="537">
        <f t="shared" si="0"/>
        <v>0</v>
      </c>
      <c r="BB11" s="197" t="str">
        <f t="shared" ca="1" si="1"/>
        <v>4nam,6thang,17ngay.</v>
      </c>
    </row>
    <row r="12" spans="1:56" s="197" customFormat="1" ht="18" customHeight="1">
      <c r="A12" s="423">
        <f t="shared" si="2"/>
        <v>9</v>
      </c>
      <c r="B12" s="536" t="s">
        <v>725</v>
      </c>
      <c r="C12" s="610" t="s">
        <v>728</v>
      </c>
      <c r="D12" s="606"/>
      <c r="E12" s="606"/>
      <c r="F12" s="606"/>
      <c r="G12" s="606"/>
      <c r="H12" s="606"/>
      <c r="I12" s="606"/>
      <c r="J12" s="606"/>
      <c r="K12" s="606"/>
      <c r="L12" s="606"/>
      <c r="M12" s="606"/>
      <c r="N12" s="606"/>
      <c r="O12" s="607"/>
      <c r="P12" s="538"/>
      <c r="Q12" s="538"/>
      <c r="R12" s="538"/>
      <c r="S12" s="538"/>
      <c r="T12" s="538"/>
      <c r="U12" s="538"/>
      <c r="V12" s="538"/>
      <c r="W12" s="584"/>
      <c r="X12" s="538">
        <v>3</v>
      </c>
      <c r="Y12" s="538"/>
      <c r="Z12" s="538"/>
      <c r="AA12" s="539"/>
      <c r="AB12" s="687">
        <v>1</v>
      </c>
      <c r="AC12" s="687">
        <v>3</v>
      </c>
      <c r="AD12" s="687"/>
      <c r="AE12" s="687"/>
      <c r="AF12" s="687"/>
      <c r="AG12" s="687"/>
      <c r="AH12" s="687"/>
      <c r="AI12" s="688"/>
      <c r="AJ12" s="687"/>
      <c r="AK12" s="687"/>
      <c r="AL12" s="837"/>
      <c r="AM12" s="851"/>
      <c r="AN12" s="852"/>
      <c r="AO12" s="858"/>
      <c r="AP12" s="858"/>
      <c r="AQ12" s="858"/>
      <c r="AR12" s="858"/>
      <c r="AS12" s="858"/>
      <c r="AT12" s="858"/>
      <c r="AU12" s="858"/>
      <c r="AV12" s="858"/>
      <c r="AW12" s="845">
        <f t="shared" si="3"/>
        <v>0</v>
      </c>
      <c r="AX12" s="537">
        <f t="shared" si="4"/>
        <v>7</v>
      </c>
      <c r="AY12" s="537">
        <f t="shared" si="5"/>
        <v>7</v>
      </c>
      <c r="AZ12" s="537"/>
      <c r="BA12" s="537">
        <f t="shared" si="0"/>
        <v>0</v>
      </c>
      <c r="BB12" s="197" t="str">
        <f t="shared" ca="1" si="1"/>
        <v>3nam,0thang,13ngay.</v>
      </c>
    </row>
    <row r="13" spans="1:56" s="197" customFormat="1" ht="18" customHeight="1">
      <c r="A13" s="423">
        <f t="shared" si="2"/>
        <v>10</v>
      </c>
      <c r="B13" s="536" t="s">
        <v>67</v>
      </c>
      <c r="C13" s="605">
        <v>41108</v>
      </c>
      <c r="D13" s="606"/>
      <c r="E13" s="606"/>
      <c r="F13" s="606"/>
      <c r="G13" s="606"/>
      <c r="H13" s="606"/>
      <c r="I13" s="606"/>
      <c r="J13" s="606"/>
      <c r="K13" s="606"/>
      <c r="L13" s="606">
        <v>3</v>
      </c>
      <c r="M13" s="606">
        <v>1</v>
      </c>
      <c r="N13" s="606">
        <v>2</v>
      </c>
      <c r="O13" s="607">
        <v>1</v>
      </c>
      <c r="P13" s="538">
        <v>1</v>
      </c>
      <c r="Q13" s="538"/>
      <c r="R13" s="538">
        <v>1</v>
      </c>
      <c r="S13" s="538">
        <v>1</v>
      </c>
      <c r="T13" s="538"/>
      <c r="U13" s="538">
        <v>1</v>
      </c>
      <c r="V13" s="538">
        <v>1</v>
      </c>
      <c r="W13" s="584"/>
      <c r="X13" s="538"/>
      <c r="Y13" s="538">
        <v>2</v>
      </c>
      <c r="Z13" s="538"/>
      <c r="AA13" s="539">
        <v>3</v>
      </c>
      <c r="AB13" s="687"/>
      <c r="AC13" s="687"/>
      <c r="AD13" s="687"/>
      <c r="AE13" s="687">
        <v>1</v>
      </c>
      <c r="AF13" s="687">
        <v>1</v>
      </c>
      <c r="AG13" s="687">
        <v>1</v>
      </c>
      <c r="AH13" s="687">
        <v>1</v>
      </c>
      <c r="AI13" s="688"/>
      <c r="AJ13" s="687"/>
      <c r="AK13" s="687">
        <v>2</v>
      </c>
      <c r="AL13" s="837"/>
      <c r="AM13" s="851">
        <v>1</v>
      </c>
      <c r="AN13" s="852">
        <v>1</v>
      </c>
      <c r="AO13" s="858"/>
      <c r="AP13" s="858">
        <v>2</v>
      </c>
      <c r="AQ13" s="858"/>
      <c r="AR13" s="858"/>
      <c r="AS13" s="858"/>
      <c r="AT13" s="858">
        <v>4</v>
      </c>
      <c r="AU13" s="858">
        <v>1</v>
      </c>
      <c r="AV13" s="858"/>
      <c r="AW13" s="845">
        <f t="shared" si="3"/>
        <v>11</v>
      </c>
      <c r="AX13" s="537">
        <f t="shared" si="4"/>
        <v>9</v>
      </c>
      <c r="AY13" s="537">
        <f t="shared" si="5"/>
        <v>31</v>
      </c>
      <c r="AZ13" s="537">
        <f>SUM(AH13:AP13)</f>
        <v>7</v>
      </c>
      <c r="BA13" s="537">
        <f t="shared" si="0"/>
        <v>8</v>
      </c>
      <c r="BB13" s="197" t="str">
        <f t="shared" ca="1" si="1"/>
        <v>7nam,2thang,0ngay.</v>
      </c>
    </row>
    <row r="14" spans="1:56" s="197" customFormat="1" ht="18" customHeight="1">
      <c r="A14" s="423">
        <f t="shared" si="2"/>
        <v>11</v>
      </c>
      <c r="B14" s="536" t="s">
        <v>72</v>
      </c>
      <c r="C14" s="605">
        <v>41611</v>
      </c>
      <c r="D14" s="606"/>
      <c r="E14" s="606"/>
      <c r="F14" s="606"/>
      <c r="G14" s="606"/>
      <c r="H14" s="606"/>
      <c r="I14" s="606">
        <v>1</v>
      </c>
      <c r="J14" s="606"/>
      <c r="K14" s="606"/>
      <c r="L14" s="606">
        <v>3</v>
      </c>
      <c r="M14" s="606"/>
      <c r="N14" s="606"/>
      <c r="O14" s="607"/>
      <c r="P14" s="538">
        <v>4</v>
      </c>
      <c r="Q14" s="538">
        <v>3</v>
      </c>
      <c r="R14" s="538"/>
      <c r="S14" s="538"/>
      <c r="T14" s="538">
        <v>1</v>
      </c>
      <c r="U14" s="538"/>
      <c r="V14" s="538"/>
      <c r="W14" s="584"/>
      <c r="X14" s="538"/>
      <c r="Y14" s="538">
        <v>4</v>
      </c>
      <c r="Z14" s="538"/>
      <c r="AA14" s="539"/>
      <c r="AB14" s="687">
        <v>3</v>
      </c>
      <c r="AC14" s="687"/>
      <c r="AD14" s="687">
        <v>1</v>
      </c>
      <c r="AE14" s="687"/>
      <c r="AF14" s="687"/>
      <c r="AG14" s="687">
        <v>1</v>
      </c>
      <c r="AH14" s="687"/>
      <c r="AI14" s="688"/>
      <c r="AJ14" s="687"/>
      <c r="AK14" s="687">
        <v>4</v>
      </c>
      <c r="AL14" s="837"/>
      <c r="AM14" s="851"/>
      <c r="AN14" s="852"/>
      <c r="AO14" s="858">
        <v>7</v>
      </c>
      <c r="AP14" s="858"/>
      <c r="AQ14" s="858"/>
      <c r="AR14" s="858"/>
      <c r="AS14" s="858"/>
      <c r="AT14" s="858">
        <v>1</v>
      </c>
      <c r="AU14" s="858"/>
      <c r="AV14" s="858"/>
      <c r="AW14" s="845">
        <f t="shared" si="3"/>
        <v>12</v>
      </c>
      <c r="AX14" s="537">
        <f t="shared" si="4"/>
        <v>9</v>
      </c>
      <c r="AY14" s="537">
        <f t="shared" si="5"/>
        <v>33</v>
      </c>
      <c r="AZ14" s="537">
        <f>SUM(AH14:AO14)</f>
        <v>11</v>
      </c>
      <c r="BA14" s="537">
        <f t="shared" si="0"/>
        <v>8</v>
      </c>
      <c r="BB14" s="197" t="str">
        <f t="shared" ca="1" si="1"/>
        <v>5nam,9thang,15ngay.</v>
      </c>
    </row>
    <row r="15" spans="1:56" s="197" customFormat="1" ht="18" customHeight="1">
      <c r="A15" s="423">
        <f t="shared" si="2"/>
        <v>12</v>
      </c>
      <c r="B15" s="536" t="s">
        <v>68</v>
      </c>
      <c r="C15" s="611">
        <v>41739</v>
      </c>
      <c r="D15" s="606"/>
      <c r="E15" s="606"/>
      <c r="F15" s="606"/>
      <c r="G15" s="606"/>
      <c r="H15" s="606"/>
      <c r="I15" s="606"/>
      <c r="J15" s="606">
        <v>2</v>
      </c>
      <c r="K15" s="606"/>
      <c r="L15" s="606"/>
      <c r="M15" s="606"/>
      <c r="N15" s="606"/>
      <c r="O15" s="607">
        <v>2</v>
      </c>
      <c r="P15" s="538">
        <v>1</v>
      </c>
      <c r="Q15" s="538">
        <v>3</v>
      </c>
      <c r="R15" s="538">
        <v>2</v>
      </c>
      <c r="S15" s="538"/>
      <c r="T15" s="538">
        <v>1</v>
      </c>
      <c r="U15" s="538">
        <v>1</v>
      </c>
      <c r="V15" s="538">
        <v>4</v>
      </c>
      <c r="W15" s="584"/>
      <c r="X15" s="538">
        <v>1</v>
      </c>
      <c r="Y15" s="538"/>
      <c r="Z15" s="538">
        <v>3</v>
      </c>
      <c r="AA15" s="539">
        <v>3</v>
      </c>
      <c r="AB15" s="687"/>
      <c r="AC15" s="687"/>
      <c r="AD15" s="687">
        <v>1</v>
      </c>
      <c r="AE15" s="687">
        <v>1</v>
      </c>
      <c r="AF15" s="687"/>
      <c r="AG15" s="687">
        <v>1</v>
      </c>
      <c r="AH15" s="687"/>
      <c r="AI15" s="688">
        <v>3</v>
      </c>
      <c r="AJ15" s="687"/>
      <c r="AK15" s="687">
        <v>2</v>
      </c>
      <c r="AL15" s="837">
        <v>2</v>
      </c>
      <c r="AM15" s="851">
        <v>1</v>
      </c>
      <c r="AN15" s="852">
        <v>2</v>
      </c>
      <c r="AO15" s="858">
        <v>2</v>
      </c>
      <c r="AP15" s="858"/>
      <c r="AQ15" s="858">
        <v>2</v>
      </c>
      <c r="AR15" s="858"/>
      <c r="AS15" s="858"/>
      <c r="AT15" s="858"/>
      <c r="AU15" s="858"/>
      <c r="AV15" s="858"/>
      <c r="AW15" s="845">
        <f t="shared" si="3"/>
        <v>12</v>
      </c>
      <c r="AX15" s="537">
        <f t="shared" si="4"/>
        <v>14</v>
      </c>
      <c r="AY15" s="537">
        <f t="shared" si="5"/>
        <v>36</v>
      </c>
      <c r="AZ15" s="537">
        <f>SUM(AE15:AN15)</f>
        <v>12</v>
      </c>
      <c r="BA15" s="537">
        <f t="shared" si="0"/>
        <v>6</v>
      </c>
      <c r="BB15" s="197" t="str">
        <f t="shared" ca="1" si="1"/>
        <v>5nam,5thang,8ngay.</v>
      </c>
    </row>
    <row r="16" spans="1:56" s="197" customFormat="1" ht="18" customHeight="1">
      <c r="A16" s="423">
        <f t="shared" si="2"/>
        <v>13</v>
      </c>
      <c r="B16" s="536" t="s">
        <v>74</v>
      </c>
      <c r="C16" s="611">
        <v>37257</v>
      </c>
      <c r="D16" s="606"/>
      <c r="E16" s="606"/>
      <c r="F16" s="606"/>
      <c r="G16" s="606"/>
      <c r="H16" s="606"/>
      <c r="I16" s="606"/>
      <c r="J16" s="606">
        <v>1</v>
      </c>
      <c r="K16" s="606"/>
      <c r="L16" s="606">
        <v>1</v>
      </c>
      <c r="M16" s="606"/>
      <c r="N16" s="606"/>
      <c r="O16" s="607">
        <v>1</v>
      </c>
      <c r="P16" s="538">
        <v>1</v>
      </c>
      <c r="Q16" s="538">
        <v>2</v>
      </c>
      <c r="R16" s="538">
        <v>1</v>
      </c>
      <c r="S16" s="538"/>
      <c r="T16" s="538"/>
      <c r="U16" s="538"/>
      <c r="V16" s="538"/>
      <c r="W16" s="584">
        <v>1</v>
      </c>
      <c r="X16" s="538">
        <v>3</v>
      </c>
      <c r="Y16" s="538">
        <v>1</v>
      </c>
      <c r="Z16" s="538">
        <v>1</v>
      </c>
      <c r="AA16" s="539">
        <v>1</v>
      </c>
      <c r="AB16" s="687"/>
      <c r="AC16" s="687"/>
      <c r="AD16" s="687"/>
      <c r="AE16" s="687"/>
      <c r="AF16" s="687">
        <v>1</v>
      </c>
      <c r="AG16" s="687">
        <v>1</v>
      </c>
      <c r="AH16" s="687">
        <v>2</v>
      </c>
      <c r="AI16" s="688"/>
      <c r="AJ16" s="687"/>
      <c r="AK16" s="687"/>
      <c r="AL16" s="837">
        <v>1</v>
      </c>
      <c r="AM16" s="851"/>
      <c r="AN16" s="852"/>
      <c r="AO16" s="858"/>
      <c r="AP16" s="858"/>
      <c r="AQ16" s="858">
        <v>3</v>
      </c>
      <c r="AR16" s="858">
        <v>4</v>
      </c>
      <c r="AS16" s="858"/>
      <c r="AT16" s="858">
        <v>2</v>
      </c>
      <c r="AU16" s="858"/>
      <c r="AV16" s="858"/>
      <c r="AW16" s="845">
        <f t="shared" si="3"/>
        <v>7</v>
      </c>
      <c r="AX16" s="537">
        <f t="shared" si="4"/>
        <v>9</v>
      </c>
      <c r="AY16" s="537">
        <f t="shared" si="5"/>
        <v>28</v>
      </c>
      <c r="AZ16" s="537">
        <f>SUM(AH16:AR16)</f>
        <v>10</v>
      </c>
      <c r="BA16" s="537">
        <f t="shared" si="0"/>
        <v>9</v>
      </c>
      <c r="BB16" s="197" t="str">
        <f t="shared" ca="1" si="1"/>
        <v>17nam,8thang,17ngay.</v>
      </c>
    </row>
    <row r="17" spans="1:54" s="635" customFormat="1" ht="18" customHeight="1">
      <c r="A17" s="423">
        <f t="shared" si="2"/>
        <v>14</v>
      </c>
      <c r="B17" s="632" t="s">
        <v>368</v>
      </c>
      <c r="C17" s="633">
        <v>37622</v>
      </c>
      <c r="D17" s="538"/>
      <c r="E17" s="538"/>
      <c r="F17" s="538"/>
      <c r="G17" s="538">
        <v>4</v>
      </c>
      <c r="H17" s="538"/>
      <c r="I17" s="538">
        <v>5</v>
      </c>
      <c r="J17" s="538"/>
      <c r="K17" s="538"/>
      <c r="L17" s="538">
        <v>3</v>
      </c>
      <c r="M17" s="538"/>
      <c r="N17" s="538"/>
      <c r="O17" s="539">
        <v>2</v>
      </c>
      <c r="P17" s="538">
        <v>1</v>
      </c>
      <c r="Q17" s="538">
        <v>1</v>
      </c>
      <c r="R17" s="538"/>
      <c r="S17" s="538">
        <v>1</v>
      </c>
      <c r="T17" s="538">
        <v>3</v>
      </c>
      <c r="U17" s="538">
        <v>4</v>
      </c>
      <c r="V17" s="538">
        <v>3</v>
      </c>
      <c r="W17" s="584">
        <v>3</v>
      </c>
      <c r="X17" s="538"/>
      <c r="Y17" s="538"/>
      <c r="Z17" s="538"/>
      <c r="AA17" s="539"/>
      <c r="AB17" s="687"/>
      <c r="AC17" s="687">
        <v>1</v>
      </c>
      <c r="AD17" s="687"/>
      <c r="AE17" s="687">
        <v>1</v>
      </c>
      <c r="AF17" s="687">
        <v>1</v>
      </c>
      <c r="AG17" s="687">
        <v>1</v>
      </c>
      <c r="AH17" s="687"/>
      <c r="AI17" s="688">
        <v>1</v>
      </c>
      <c r="AJ17" s="687"/>
      <c r="AK17" s="687"/>
      <c r="AL17" s="837">
        <v>1</v>
      </c>
      <c r="AM17" s="851">
        <v>2</v>
      </c>
      <c r="AN17" s="852">
        <v>2</v>
      </c>
      <c r="AO17" s="858">
        <v>2</v>
      </c>
      <c r="AP17" s="858">
        <v>3</v>
      </c>
      <c r="AQ17" s="858">
        <v>2</v>
      </c>
      <c r="AR17" s="858"/>
      <c r="AS17" s="858"/>
      <c r="AT17" s="858"/>
      <c r="AU17" s="858"/>
      <c r="AV17" s="858"/>
      <c r="AW17" s="846">
        <f>SUM(D17:Q17)</f>
        <v>16</v>
      </c>
      <c r="AX17" s="537">
        <f>SUM(R17:AA17)</f>
        <v>14</v>
      </c>
      <c r="AY17" s="634">
        <f>SUM(S17:AW17)</f>
        <v>47</v>
      </c>
      <c r="AZ17" s="634">
        <f>SUM(AB17:AP17)</f>
        <v>15</v>
      </c>
      <c r="BA17" s="537">
        <f t="shared" si="0"/>
        <v>9</v>
      </c>
      <c r="BB17" s="635" t="str">
        <f t="shared" ca="1" si="1"/>
        <v>16nam,8thang,17ngay.</v>
      </c>
    </row>
    <row r="18" spans="1:54" s="197" customFormat="1" ht="18" customHeight="1">
      <c r="A18" s="423">
        <f t="shared" si="2"/>
        <v>15</v>
      </c>
      <c r="B18" s="536" t="s">
        <v>75</v>
      </c>
      <c r="C18" s="611">
        <v>41321</v>
      </c>
      <c r="D18" s="606"/>
      <c r="E18" s="606"/>
      <c r="F18" s="606"/>
      <c r="G18" s="606"/>
      <c r="H18" s="606"/>
      <c r="I18" s="606">
        <v>2</v>
      </c>
      <c r="J18" s="606">
        <v>4</v>
      </c>
      <c r="K18" s="606"/>
      <c r="L18" s="606">
        <v>1</v>
      </c>
      <c r="M18" s="606"/>
      <c r="N18" s="606"/>
      <c r="O18" s="607">
        <v>2</v>
      </c>
      <c r="P18" s="538">
        <v>2</v>
      </c>
      <c r="Q18" s="538">
        <v>1</v>
      </c>
      <c r="R18" s="538">
        <v>6</v>
      </c>
      <c r="S18" s="538">
        <v>1</v>
      </c>
      <c r="T18" s="538"/>
      <c r="U18" s="538">
        <v>1</v>
      </c>
      <c r="V18" s="538"/>
      <c r="W18" s="584">
        <v>3</v>
      </c>
      <c r="X18" s="538"/>
      <c r="Y18" s="538"/>
      <c r="Z18" s="538"/>
      <c r="AA18" s="539"/>
      <c r="AB18" s="687"/>
      <c r="AC18" s="687"/>
      <c r="AD18" s="687"/>
      <c r="AE18" s="687"/>
      <c r="AF18" s="687">
        <v>1</v>
      </c>
      <c r="AG18" s="687"/>
      <c r="AH18" s="687">
        <v>3</v>
      </c>
      <c r="AI18" s="688"/>
      <c r="AJ18" s="687"/>
      <c r="AK18" s="687"/>
      <c r="AL18" s="837"/>
      <c r="AM18" s="851"/>
      <c r="AN18" s="852"/>
      <c r="AO18" s="858"/>
      <c r="AP18" s="858">
        <v>5</v>
      </c>
      <c r="AQ18" s="858"/>
      <c r="AR18" s="858"/>
      <c r="AS18" s="858"/>
      <c r="AT18" s="858"/>
      <c r="AU18" s="858"/>
      <c r="AV18" s="858"/>
      <c r="AW18" s="845">
        <f>SUM(D18:Q18)</f>
        <v>12</v>
      </c>
      <c r="AX18" s="537">
        <f>SUM(R18:AG18)</f>
        <v>12</v>
      </c>
      <c r="AY18" s="537">
        <f>SUM(S18:AW18)</f>
        <v>26</v>
      </c>
      <c r="AZ18" s="537">
        <f>SUM(AH18:AP18)</f>
        <v>8</v>
      </c>
      <c r="BA18" s="537">
        <f t="shared" si="0"/>
        <v>5</v>
      </c>
      <c r="BB18" s="197" t="str">
        <f t="shared" ca="1" si="1"/>
        <v>6nam,7thang,2ngay.</v>
      </c>
    </row>
    <row r="19" spans="1:54" s="197" customFormat="1" ht="18" customHeight="1">
      <c r="A19" s="423">
        <f t="shared" si="2"/>
        <v>16</v>
      </c>
      <c r="B19" s="536" t="s">
        <v>70</v>
      </c>
      <c r="C19" s="611">
        <v>38838</v>
      </c>
      <c r="D19" s="606"/>
      <c r="E19" s="606"/>
      <c r="F19" s="606"/>
      <c r="G19" s="606"/>
      <c r="H19" s="606"/>
      <c r="I19" s="606"/>
      <c r="J19" s="606"/>
      <c r="K19" s="606"/>
      <c r="L19" s="606">
        <v>1</v>
      </c>
      <c r="M19" s="606"/>
      <c r="N19" s="606">
        <v>1</v>
      </c>
      <c r="O19" s="607"/>
      <c r="P19" s="538"/>
      <c r="Q19" s="538">
        <v>1</v>
      </c>
      <c r="R19" s="538"/>
      <c r="S19" s="538"/>
      <c r="T19" s="538">
        <v>1</v>
      </c>
      <c r="U19" s="538"/>
      <c r="V19" s="538">
        <v>1</v>
      </c>
      <c r="W19" s="584"/>
      <c r="X19" s="538"/>
      <c r="Y19" s="538"/>
      <c r="Z19" s="538"/>
      <c r="AA19" s="539">
        <v>1</v>
      </c>
      <c r="AB19" s="687"/>
      <c r="AC19" s="687"/>
      <c r="AD19" s="687">
        <v>2</v>
      </c>
      <c r="AE19" s="687">
        <v>1</v>
      </c>
      <c r="AF19" s="687"/>
      <c r="AG19" s="687"/>
      <c r="AH19" s="687"/>
      <c r="AI19" s="688"/>
      <c r="AJ19" s="687">
        <v>2</v>
      </c>
      <c r="AK19" s="687"/>
      <c r="AL19" s="837"/>
      <c r="AM19" s="851">
        <v>4</v>
      </c>
      <c r="AN19" s="852"/>
      <c r="AO19" s="858"/>
      <c r="AP19" s="858"/>
      <c r="AQ19" s="858"/>
      <c r="AR19" s="858">
        <v>8</v>
      </c>
      <c r="AS19" s="858"/>
      <c r="AT19" s="858"/>
      <c r="AU19" s="858">
        <v>1</v>
      </c>
      <c r="AV19" s="858"/>
      <c r="AW19" s="845">
        <f>SUM(D19:U19)</f>
        <v>4</v>
      </c>
      <c r="AX19" s="537">
        <f>SUM(V19:AG19)</f>
        <v>5</v>
      </c>
      <c r="AY19" s="537">
        <f>SUM(W19:AW19)</f>
        <v>23</v>
      </c>
      <c r="AZ19" s="537">
        <f>SUM(AH19:AM19)</f>
        <v>6</v>
      </c>
      <c r="BA19" s="537">
        <f t="shared" si="0"/>
        <v>9</v>
      </c>
      <c r="BB19" s="197" t="str">
        <f t="shared" ca="1" si="1"/>
        <v>13nam,4thang,17ngay.</v>
      </c>
    </row>
    <row r="20" spans="1:54" s="197" customFormat="1" ht="18" customHeight="1">
      <c r="A20" s="423">
        <f t="shared" si="2"/>
        <v>17</v>
      </c>
      <c r="B20" s="536" t="s">
        <v>77</v>
      </c>
      <c r="C20" s="611">
        <v>41852</v>
      </c>
      <c r="D20" s="606"/>
      <c r="E20" s="606"/>
      <c r="F20" s="606"/>
      <c r="G20" s="606"/>
      <c r="H20" s="606">
        <v>1</v>
      </c>
      <c r="I20" s="606">
        <v>3</v>
      </c>
      <c r="J20" s="606"/>
      <c r="K20" s="606"/>
      <c r="L20" s="606"/>
      <c r="M20" s="606"/>
      <c r="N20" s="606"/>
      <c r="O20" s="607"/>
      <c r="P20" s="538"/>
      <c r="Q20" s="538"/>
      <c r="R20" s="538">
        <v>1</v>
      </c>
      <c r="S20" s="538"/>
      <c r="T20" s="538"/>
      <c r="U20" s="538"/>
      <c r="V20" s="538">
        <v>1</v>
      </c>
      <c r="W20" s="584">
        <v>3</v>
      </c>
      <c r="X20" s="538"/>
      <c r="Y20" s="538"/>
      <c r="Z20" s="538"/>
      <c r="AA20" s="539">
        <v>2</v>
      </c>
      <c r="AB20" s="687"/>
      <c r="AC20" s="687"/>
      <c r="AD20" s="687"/>
      <c r="AE20" s="687"/>
      <c r="AF20" s="687">
        <v>1</v>
      </c>
      <c r="AG20" s="687"/>
      <c r="AH20" s="687">
        <v>2</v>
      </c>
      <c r="AI20" s="688"/>
      <c r="AJ20" s="687">
        <v>4.5</v>
      </c>
      <c r="AK20" s="687">
        <v>3</v>
      </c>
      <c r="AL20" s="837"/>
      <c r="AM20" s="851"/>
      <c r="AN20" s="852"/>
      <c r="AO20" s="858"/>
      <c r="AP20" s="858">
        <v>1</v>
      </c>
      <c r="AQ20" s="858">
        <v>6</v>
      </c>
      <c r="AR20" s="858">
        <v>1</v>
      </c>
      <c r="AS20" s="858"/>
      <c r="AT20" s="858"/>
      <c r="AU20" s="858"/>
      <c r="AV20" s="858"/>
      <c r="AW20" s="845">
        <f>SUM(D20:U20)</f>
        <v>5</v>
      </c>
      <c r="AX20" s="537">
        <f>SUM(V20:AG20)</f>
        <v>7</v>
      </c>
      <c r="AY20" s="537">
        <f>SUM(W20:AW20)</f>
        <v>28.5</v>
      </c>
      <c r="AZ20" s="537">
        <f>SUM(AH20:AM20)</f>
        <v>9.5</v>
      </c>
      <c r="BA20" s="537">
        <f t="shared" si="0"/>
        <v>8</v>
      </c>
      <c r="BB20" s="197" t="str">
        <f t="shared" ca="1" si="1"/>
        <v>5nam,1thang,17ngay.</v>
      </c>
    </row>
    <row r="21" spans="1:54" s="197" customFormat="1" ht="18" customHeight="1">
      <c r="A21" s="423">
        <f t="shared" si="2"/>
        <v>18</v>
      </c>
      <c r="B21" s="536" t="s">
        <v>89</v>
      </c>
      <c r="C21" s="611">
        <v>41640</v>
      </c>
      <c r="D21" s="606"/>
      <c r="E21" s="606"/>
      <c r="F21" s="606"/>
      <c r="G21" s="606"/>
      <c r="H21" s="606"/>
      <c r="I21" s="606"/>
      <c r="J21" s="606">
        <v>1</v>
      </c>
      <c r="K21" s="606"/>
      <c r="L21" s="606"/>
      <c r="M21" s="606">
        <v>1</v>
      </c>
      <c r="N21" s="606"/>
      <c r="O21" s="607">
        <v>1</v>
      </c>
      <c r="P21" s="538">
        <v>1</v>
      </c>
      <c r="Q21" s="538">
        <v>1</v>
      </c>
      <c r="R21" s="538"/>
      <c r="S21" s="538"/>
      <c r="T21" s="538">
        <v>1</v>
      </c>
      <c r="U21" s="538"/>
      <c r="V21" s="538">
        <v>3</v>
      </c>
      <c r="W21" s="584">
        <v>3</v>
      </c>
      <c r="X21" s="538"/>
      <c r="Y21" s="538"/>
      <c r="Z21" s="538"/>
      <c r="AA21" s="539">
        <v>3</v>
      </c>
      <c r="AB21" s="687">
        <v>1</v>
      </c>
      <c r="AC21" s="687"/>
      <c r="AD21" s="687"/>
      <c r="AE21" s="687"/>
      <c r="AF21" s="687"/>
      <c r="AG21" s="687"/>
      <c r="AH21" s="687"/>
      <c r="AI21" s="688"/>
      <c r="AJ21" s="687">
        <v>1</v>
      </c>
      <c r="AK21" s="687"/>
      <c r="AL21" s="837">
        <v>2</v>
      </c>
      <c r="AM21" s="851"/>
      <c r="AN21" s="852">
        <v>1</v>
      </c>
      <c r="AO21" s="858"/>
      <c r="AP21" s="858">
        <v>2</v>
      </c>
      <c r="AQ21" s="858"/>
      <c r="AR21" s="858"/>
      <c r="AS21" s="858">
        <v>1</v>
      </c>
      <c r="AT21" s="858"/>
      <c r="AU21" s="858">
        <v>2</v>
      </c>
      <c r="AV21" s="858"/>
      <c r="AW21" s="845">
        <f>SUM(D21:U21)</f>
        <v>6</v>
      </c>
      <c r="AX21" s="537">
        <f>SUM(V21:AG21)</f>
        <v>10</v>
      </c>
      <c r="AY21" s="537">
        <f>SUM(W21:AW21)</f>
        <v>22</v>
      </c>
      <c r="AZ21" s="537">
        <f>SUM(AH21:AP21)</f>
        <v>6</v>
      </c>
      <c r="BA21" s="537">
        <f t="shared" si="0"/>
        <v>6</v>
      </c>
      <c r="BB21" s="197" t="str">
        <f t="shared" ca="1" si="1"/>
        <v>5nam,8thang,17ngay.</v>
      </c>
    </row>
    <row r="22" spans="1:54" s="197" customFormat="1" ht="18" customHeight="1">
      <c r="A22" s="423">
        <f t="shared" si="2"/>
        <v>19</v>
      </c>
      <c r="B22" s="536" t="s">
        <v>71</v>
      </c>
      <c r="C22" s="611">
        <v>41997</v>
      </c>
      <c r="D22" s="606"/>
      <c r="E22" s="606"/>
      <c r="F22" s="606"/>
      <c r="G22" s="606"/>
      <c r="H22" s="606"/>
      <c r="I22" s="606"/>
      <c r="J22" s="606">
        <v>1</v>
      </c>
      <c r="K22" s="606"/>
      <c r="L22" s="606">
        <v>1</v>
      </c>
      <c r="M22" s="606">
        <v>1</v>
      </c>
      <c r="N22" s="606"/>
      <c r="O22" s="607">
        <v>1</v>
      </c>
      <c r="P22" s="538"/>
      <c r="Q22" s="538">
        <v>2</v>
      </c>
      <c r="R22" s="538">
        <v>2</v>
      </c>
      <c r="S22" s="538">
        <v>1</v>
      </c>
      <c r="T22" s="538">
        <v>2</v>
      </c>
      <c r="U22" s="538"/>
      <c r="V22" s="538">
        <v>3</v>
      </c>
      <c r="W22" s="584">
        <v>2</v>
      </c>
      <c r="X22" s="538">
        <v>3</v>
      </c>
      <c r="Y22" s="538"/>
      <c r="Z22" s="538">
        <v>1</v>
      </c>
      <c r="AA22" s="539">
        <v>2</v>
      </c>
      <c r="AB22" s="687">
        <v>1</v>
      </c>
      <c r="AC22" s="687"/>
      <c r="AD22" s="687">
        <v>1</v>
      </c>
      <c r="AE22" s="687">
        <v>1</v>
      </c>
      <c r="AF22" s="687">
        <v>1</v>
      </c>
      <c r="AG22" s="687"/>
      <c r="AH22" s="687"/>
      <c r="AI22" s="688">
        <v>3</v>
      </c>
      <c r="AJ22" s="687"/>
      <c r="AK22" s="687"/>
      <c r="AL22" s="837">
        <v>1</v>
      </c>
      <c r="AM22" s="851">
        <v>1</v>
      </c>
      <c r="AN22" s="852"/>
      <c r="AO22" s="858"/>
      <c r="AP22" s="858">
        <v>3</v>
      </c>
      <c r="AQ22" s="858"/>
      <c r="AR22" s="858"/>
      <c r="AS22" s="858">
        <v>5</v>
      </c>
      <c r="AT22" s="858"/>
      <c r="AU22" s="858">
        <v>1</v>
      </c>
      <c r="AV22" s="858"/>
      <c r="AW22" s="845">
        <f>SUM(D22:U22)</f>
        <v>11</v>
      </c>
      <c r="AX22" s="634">
        <f>SUM(V22:AG22)</f>
        <v>15</v>
      </c>
      <c r="AY22" s="537">
        <f>SUM(W22:AW22)</f>
        <v>37</v>
      </c>
      <c r="AZ22" s="537">
        <f>SUM(AC22:AP22)</f>
        <v>11</v>
      </c>
      <c r="BA22" s="537">
        <f t="shared" si="0"/>
        <v>9</v>
      </c>
      <c r="BB22" s="197" t="str">
        <f t="shared" ca="1" si="1"/>
        <v>4nam,8thang,25ngay.</v>
      </c>
    </row>
    <row r="23" spans="1:54" s="197" customFormat="1" ht="18" customHeight="1">
      <c r="A23" s="423">
        <f t="shared" si="2"/>
        <v>20</v>
      </c>
      <c r="B23" s="536" t="s">
        <v>87</v>
      </c>
      <c r="C23" s="611">
        <v>41786</v>
      </c>
      <c r="D23" s="606"/>
      <c r="E23" s="606"/>
      <c r="F23" s="606"/>
      <c r="G23" s="606"/>
      <c r="H23" s="606"/>
      <c r="I23" s="606"/>
      <c r="J23" s="606"/>
      <c r="K23" s="606"/>
      <c r="L23" s="606">
        <v>2</v>
      </c>
      <c r="M23" s="606"/>
      <c r="N23" s="606">
        <v>1</v>
      </c>
      <c r="O23" s="607">
        <v>1</v>
      </c>
      <c r="P23" s="538">
        <v>1</v>
      </c>
      <c r="Q23" s="538">
        <v>1</v>
      </c>
      <c r="R23" s="538">
        <v>6</v>
      </c>
      <c r="S23" s="538"/>
      <c r="T23" s="538">
        <v>2</v>
      </c>
      <c r="U23" s="538"/>
      <c r="V23" s="538"/>
      <c r="W23" s="584"/>
      <c r="X23" s="538"/>
      <c r="Y23" s="538"/>
      <c r="Z23" s="538"/>
      <c r="AA23" s="539"/>
      <c r="AB23" s="687"/>
      <c r="AC23" s="687"/>
      <c r="AD23" s="687"/>
      <c r="AE23" s="687">
        <v>2</v>
      </c>
      <c r="AF23" s="687"/>
      <c r="AG23" s="687">
        <v>1</v>
      </c>
      <c r="AH23" s="687"/>
      <c r="AI23" s="688">
        <v>1</v>
      </c>
      <c r="AJ23" s="687"/>
      <c r="AK23" s="687"/>
      <c r="AL23" s="837"/>
      <c r="AM23" s="851"/>
      <c r="AN23" s="852"/>
      <c r="AO23" s="858"/>
      <c r="AP23" s="858"/>
      <c r="AQ23" s="858">
        <v>3</v>
      </c>
      <c r="AR23" s="858"/>
      <c r="AS23" s="858"/>
      <c r="AT23" s="858"/>
      <c r="AU23" s="858">
        <v>2</v>
      </c>
      <c r="AV23" s="858"/>
      <c r="AW23" s="845">
        <f>SUM(D23:S23)</f>
        <v>12</v>
      </c>
      <c r="AX23" s="537">
        <f>SUM(T23:AG23)</f>
        <v>5</v>
      </c>
      <c r="AY23" s="537">
        <f>SUM(U23:AW23)</f>
        <v>21</v>
      </c>
      <c r="AZ23" s="537">
        <f>SUM(AH23:AQ23)</f>
        <v>4</v>
      </c>
      <c r="BA23" s="537">
        <f t="shared" si="0"/>
        <v>5</v>
      </c>
      <c r="BB23" s="197" t="str">
        <f t="shared" ca="1" si="1"/>
        <v>5nam,3thang,22ngay.</v>
      </c>
    </row>
    <row r="24" spans="1:54" s="197" customFormat="1" ht="18" customHeight="1">
      <c r="A24" s="423">
        <f t="shared" si="2"/>
        <v>21</v>
      </c>
      <c r="B24" s="536" t="s">
        <v>88</v>
      </c>
      <c r="C24" s="611">
        <v>41876</v>
      </c>
      <c r="D24" s="606"/>
      <c r="E24" s="606"/>
      <c r="F24" s="606"/>
      <c r="G24" s="606"/>
      <c r="H24" s="606"/>
      <c r="I24" s="606"/>
      <c r="J24" s="606">
        <v>1</v>
      </c>
      <c r="K24" s="606"/>
      <c r="L24" s="606"/>
      <c r="M24" s="606"/>
      <c r="N24" s="606">
        <v>1</v>
      </c>
      <c r="O24" s="607">
        <v>1</v>
      </c>
      <c r="P24" s="538">
        <v>2</v>
      </c>
      <c r="Q24" s="538">
        <v>1</v>
      </c>
      <c r="R24" s="538">
        <v>1</v>
      </c>
      <c r="S24" s="538">
        <v>1</v>
      </c>
      <c r="T24" s="538">
        <v>1</v>
      </c>
      <c r="U24" s="538">
        <v>1</v>
      </c>
      <c r="V24" s="538">
        <v>2</v>
      </c>
      <c r="W24" s="584">
        <v>1</v>
      </c>
      <c r="X24" s="538">
        <v>1</v>
      </c>
      <c r="Y24" s="538"/>
      <c r="Z24" s="538"/>
      <c r="AA24" s="539"/>
      <c r="AB24" s="687"/>
      <c r="AC24" s="687"/>
      <c r="AD24" s="687"/>
      <c r="AE24" s="687">
        <v>1</v>
      </c>
      <c r="AF24" s="687">
        <v>1</v>
      </c>
      <c r="AG24" s="687"/>
      <c r="AH24" s="687"/>
      <c r="AI24" s="688"/>
      <c r="AJ24" s="687"/>
      <c r="AK24" s="687"/>
      <c r="AL24" s="837"/>
      <c r="AM24" s="851"/>
      <c r="AN24" s="852"/>
      <c r="AO24" s="858">
        <v>3</v>
      </c>
      <c r="AP24" s="858"/>
      <c r="AQ24" s="858"/>
      <c r="AR24" s="858">
        <v>1</v>
      </c>
      <c r="AS24" s="858">
        <v>1</v>
      </c>
      <c r="AT24" s="858">
        <v>3</v>
      </c>
      <c r="AU24" s="858">
        <v>1</v>
      </c>
      <c r="AV24" s="858"/>
      <c r="AW24" s="845">
        <f>SUM(D24:U24)</f>
        <v>10</v>
      </c>
      <c r="AX24" s="537">
        <f>SUM(V24:AG24)</f>
        <v>6</v>
      </c>
      <c r="AY24" s="537">
        <f>SUM(W24:AW24)</f>
        <v>23</v>
      </c>
      <c r="AZ24" s="537">
        <f>SUM(AH24:AP24)</f>
        <v>3</v>
      </c>
      <c r="BA24" s="537">
        <f t="shared" si="0"/>
        <v>9</v>
      </c>
      <c r="BB24" s="197" t="str">
        <f t="shared" ca="1" si="1"/>
        <v>5nam,0thang,24ngay.</v>
      </c>
    </row>
    <row r="25" spans="1:54" s="635" customFormat="1" ht="18" customHeight="1">
      <c r="A25" s="423">
        <f t="shared" si="2"/>
        <v>22</v>
      </c>
      <c r="B25" s="632" t="s">
        <v>81</v>
      </c>
      <c r="C25" s="633">
        <v>42201</v>
      </c>
      <c r="D25" s="538"/>
      <c r="E25" s="538"/>
      <c r="F25" s="538"/>
      <c r="G25" s="538"/>
      <c r="H25" s="538"/>
      <c r="I25" s="538"/>
      <c r="J25" s="538"/>
      <c r="K25" s="538"/>
      <c r="L25" s="538">
        <v>1</v>
      </c>
      <c r="M25" s="538">
        <v>1</v>
      </c>
      <c r="N25" s="538">
        <v>2</v>
      </c>
      <c r="O25" s="539">
        <v>2</v>
      </c>
      <c r="P25" s="538">
        <v>2</v>
      </c>
      <c r="Q25" s="538">
        <v>1</v>
      </c>
      <c r="R25" s="538">
        <v>2</v>
      </c>
      <c r="S25" s="538">
        <v>1</v>
      </c>
      <c r="T25" s="538">
        <v>3</v>
      </c>
      <c r="U25" s="538">
        <v>3</v>
      </c>
      <c r="V25" s="538">
        <v>3</v>
      </c>
      <c r="W25" s="584">
        <v>3</v>
      </c>
      <c r="X25" s="538"/>
      <c r="Y25" s="538"/>
      <c r="Z25" s="538"/>
      <c r="AA25" s="539"/>
      <c r="AB25" s="687"/>
      <c r="AC25" s="687"/>
      <c r="AD25" s="687"/>
      <c r="AE25" s="687"/>
      <c r="AF25" s="687">
        <v>2</v>
      </c>
      <c r="AG25" s="687"/>
      <c r="AH25" s="687"/>
      <c r="AI25" s="688">
        <v>1</v>
      </c>
      <c r="AJ25" s="687">
        <v>1</v>
      </c>
      <c r="AK25" s="687"/>
      <c r="AL25" s="837"/>
      <c r="AM25" s="851">
        <v>3</v>
      </c>
      <c r="AN25" s="852"/>
      <c r="AO25" s="858"/>
      <c r="AP25" s="858"/>
      <c r="AQ25" s="858"/>
      <c r="AR25" s="858"/>
      <c r="AS25" s="858"/>
      <c r="AT25" s="858"/>
      <c r="AU25" s="858">
        <v>1</v>
      </c>
      <c r="AV25" s="858"/>
      <c r="AW25" s="846">
        <f>SUM(D25:S25)</f>
        <v>12</v>
      </c>
      <c r="AX25" s="537">
        <f>SUM(T25:AE25)</f>
        <v>12</v>
      </c>
      <c r="AY25" s="634">
        <f>SUM(U25:AW25)</f>
        <v>29</v>
      </c>
      <c r="AZ25" s="634">
        <f>SUM(AF25:AM25)</f>
        <v>7</v>
      </c>
      <c r="BA25" s="537">
        <f t="shared" si="0"/>
        <v>1</v>
      </c>
      <c r="BB25" s="635" t="str">
        <f t="shared" ca="1" si="1"/>
        <v>4nam,2thang,2ngay.</v>
      </c>
    </row>
    <row r="26" spans="1:54" s="197" customFormat="1" ht="18" customHeight="1">
      <c r="A26" s="423">
        <f t="shared" si="2"/>
        <v>23</v>
      </c>
      <c r="B26" s="536" t="s">
        <v>571</v>
      </c>
      <c r="C26" s="611">
        <v>42371</v>
      </c>
      <c r="D26" s="606"/>
      <c r="E26" s="606"/>
      <c r="F26" s="606"/>
      <c r="G26" s="606"/>
      <c r="H26" s="606"/>
      <c r="I26" s="606"/>
      <c r="J26" s="606"/>
      <c r="K26" s="606"/>
      <c r="L26" s="606"/>
      <c r="M26" s="606"/>
      <c r="N26" s="606"/>
      <c r="O26" s="607"/>
      <c r="P26" s="538">
        <v>1</v>
      </c>
      <c r="Q26" s="538"/>
      <c r="R26" s="538"/>
      <c r="S26" s="538"/>
      <c r="T26" s="538"/>
      <c r="U26" s="538"/>
      <c r="V26" s="538"/>
      <c r="W26" s="584"/>
      <c r="X26" s="538"/>
      <c r="Y26" s="538"/>
      <c r="Z26" s="538"/>
      <c r="AA26" s="539"/>
      <c r="AB26" s="687"/>
      <c r="AC26" s="687"/>
      <c r="AD26" s="687"/>
      <c r="AE26" s="687"/>
      <c r="AF26" s="687"/>
      <c r="AG26" s="687"/>
      <c r="AH26" s="687"/>
      <c r="AI26" s="688"/>
      <c r="AJ26" s="687"/>
      <c r="AK26" s="687"/>
      <c r="AL26" s="837"/>
      <c r="AM26" s="851"/>
      <c r="AN26" s="852"/>
      <c r="AO26" s="858"/>
      <c r="AP26" s="858"/>
      <c r="AQ26" s="858"/>
      <c r="AR26" s="858"/>
      <c r="AS26" s="858"/>
      <c r="AT26" s="858"/>
      <c r="AU26" s="858"/>
      <c r="AV26" s="858"/>
      <c r="AW26" s="845">
        <f>SUM(D26:U26)</f>
        <v>1</v>
      </c>
      <c r="AX26" s="537">
        <f>SUM(V26:AG26)</f>
        <v>0</v>
      </c>
      <c r="AY26" s="537">
        <f>SUM(W26:AW26)</f>
        <v>1</v>
      </c>
      <c r="AZ26" s="537"/>
      <c r="BA26" s="537">
        <f t="shared" si="0"/>
        <v>0</v>
      </c>
      <c r="BB26" s="197" t="str">
        <f t="shared" ca="1" si="1"/>
        <v>3nam,8thang,16ngay.</v>
      </c>
    </row>
    <row r="27" spans="1:54" s="197" customFormat="1" ht="18" customHeight="1">
      <c r="A27" s="423">
        <f t="shared" si="2"/>
        <v>24</v>
      </c>
      <c r="B27" s="536" t="s">
        <v>83</v>
      </c>
      <c r="C27" s="611">
        <v>40462</v>
      </c>
      <c r="D27" s="606"/>
      <c r="E27" s="606"/>
      <c r="F27" s="606"/>
      <c r="G27" s="606"/>
      <c r="H27" s="606"/>
      <c r="I27" s="606"/>
      <c r="J27" s="606"/>
      <c r="K27" s="606"/>
      <c r="L27" s="606">
        <v>1</v>
      </c>
      <c r="M27" s="606">
        <v>1</v>
      </c>
      <c r="N27" s="606">
        <v>2</v>
      </c>
      <c r="O27" s="607">
        <v>3</v>
      </c>
      <c r="P27" s="538">
        <v>5</v>
      </c>
      <c r="Q27" s="538">
        <v>1</v>
      </c>
      <c r="R27" s="538">
        <v>1</v>
      </c>
      <c r="S27" s="538"/>
      <c r="T27" s="538">
        <v>2</v>
      </c>
      <c r="U27" s="538">
        <v>2</v>
      </c>
      <c r="V27" s="538"/>
      <c r="W27" s="584">
        <v>1</v>
      </c>
      <c r="X27" s="538"/>
      <c r="Y27" s="538"/>
      <c r="Z27" s="538">
        <v>1</v>
      </c>
      <c r="AA27" s="539">
        <v>2</v>
      </c>
      <c r="AB27" s="687">
        <v>1</v>
      </c>
      <c r="AC27" s="687"/>
      <c r="AD27" s="687"/>
      <c r="AE27" s="687">
        <v>3</v>
      </c>
      <c r="AF27" s="687">
        <v>3</v>
      </c>
      <c r="AG27" s="687">
        <v>1</v>
      </c>
      <c r="AH27" s="687">
        <v>1</v>
      </c>
      <c r="AI27" s="688"/>
      <c r="AJ27" s="687"/>
      <c r="AK27" s="687">
        <v>1</v>
      </c>
      <c r="AL27" s="837"/>
      <c r="AM27" s="851">
        <v>3</v>
      </c>
      <c r="AN27" s="852"/>
      <c r="AO27" s="858">
        <v>3</v>
      </c>
      <c r="AP27" s="858">
        <v>1</v>
      </c>
      <c r="AQ27" s="858">
        <v>2</v>
      </c>
      <c r="AR27" s="858"/>
      <c r="AS27" s="858"/>
      <c r="AT27" s="858">
        <v>1</v>
      </c>
      <c r="AU27" s="858">
        <v>1</v>
      </c>
      <c r="AV27" s="858"/>
      <c r="AW27" s="845">
        <f>SUM(D27:Q27)</f>
        <v>13</v>
      </c>
      <c r="AX27" s="537">
        <f>SUM(R27:AE27)</f>
        <v>13</v>
      </c>
      <c r="AY27" s="537">
        <f>SUM(S27:AW27)</f>
        <v>42</v>
      </c>
      <c r="AZ27" s="537">
        <f>SUM(AF27:AO27)</f>
        <v>12</v>
      </c>
      <c r="BA27" s="537">
        <f t="shared" si="0"/>
        <v>8</v>
      </c>
      <c r="BB27" s="197" t="str">
        <f t="shared" ca="1" si="1"/>
        <v>8nam,11thang,7ngay.</v>
      </c>
    </row>
    <row r="28" spans="1:54" s="635" customFormat="1" ht="18" customHeight="1">
      <c r="A28" s="423">
        <f t="shared" si="2"/>
        <v>25</v>
      </c>
      <c r="B28" s="632" t="s">
        <v>84</v>
      </c>
      <c r="C28" s="633">
        <v>40596</v>
      </c>
      <c r="D28" s="538"/>
      <c r="E28" s="538"/>
      <c r="F28" s="538"/>
      <c r="G28" s="538"/>
      <c r="H28" s="538"/>
      <c r="I28" s="538">
        <v>10</v>
      </c>
      <c r="J28" s="538"/>
      <c r="K28" s="538"/>
      <c r="L28" s="538"/>
      <c r="M28" s="538">
        <v>1</v>
      </c>
      <c r="N28" s="538">
        <v>1</v>
      </c>
      <c r="O28" s="539"/>
      <c r="P28" s="538">
        <v>1</v>
      </c>
      <c r="Q28" s="538">
        <v>1</v>
      </c>
      <c r="R28" s="538">
        <v>9</v>
      </c>
      <c r="S28" s="538">
        <v>2</v>
      </c>
      <c r="T28" s="538">
        <v>1</v>
      </c>
      <c r="U28" s="538">
        <v>1</v>
      </c>
      <c r="V28" s="538">
        <v>1</v>
      </c>
      <c r="W28" s="584">
        <v>1</v>
      </c>
      <c r="X28" s="538"/>
      <c r="Y28" s="538"/>
      <c r="Z28" s="538"/>
      <c r="AA28" s="539"/>
      <c r="AB28" s="687">
        <v>2</v>
      </c>
      <c r="AC28" s="687"/>
      <c r="AD28" s="687"/>
      <c r="AE28" s="687"/>
      <c r="AF28" s="687"/>
      <c r="AG28" s="687">
        <v>7</v>
      </c>
      <c r="AH28" s="687"/>
      <c r="AI28" s="688"/>
      <c r="AJ28" s="687">
        <v>1</v>
      </c>
      <c r="AK28" s="687"/>
      <c r="AL28" s="837"/>
      <c r="AM28" s="851"/>
      <c r="AN28" s="852"/>
      <c r="AO28" s="858"/>
      <c r="AP28" s="858"/>
      <c r="AQ28" s="858">
        <v>3</v>
      </c>
      <c r="AR28" s="858">
        <v>3</v>
      </c>
      <c r="AS28" s="858"/>
      <c r="AT28" s="858"/>
      <c r="AU28" s="858">
        <v>1</v>
      </c>
      <c r="AV28" s="858"/>
      <c r="AW28" s="846">
        <f>SUM(D28:Q28)</f>
        <v>14</v>
      </c>
      <c r="AX28" s="537">
        <f>SUM(R28:AA28)</f>
        <v>15</v>
      </c>
      <c r="AY28" s="634">
        <f>SUM(S28:AW28)</f>
        <v>37</v>
      </c>
      <c r="AZ28" s="634">
        <f>SUM(AB28:AQ28)</f>
        <v>13</v>
      </c>
      <c r="BA28" s="537">
        <f t="shared" si="0"/>
        <v>7</v>
      </c>
      <c r="BB28" s="635" t="str">
        <f t="shared" ca="1" si="1"/>
        <v>8nam,6thang,27ngay.</v>
      </c>
    </row>
    <row r="29" spans="1:54" s="197" customFormat="1" ht="18" customHeight="1">
      <c r="A29" s="423">
        <f t="shared" si="2"/>
        <v>26</v>
      </c>
      <c r="B29" s="536" t="s">
        <v>85</v>
      </c>
      <c r="C29" s="611">
        <v>41682</v>
      </c>
      <c r="D29" s="606"/>
      <c r="E29" s="606"/>
      <c r="F29" s="606"/>
      <c r="G29" s="606"/>
      <c r="H29" s="606"/>
      <c r="I29" s="606"/>
      <c r="J29" s="606"/>
      <c r="K29" s="606"/>
      <c r="L29" s="606">
        <v>1</v>
      </c>
      <c r="M29" s="606"/>
      <c r="N29" s="606"/>
      <c r="O29" s="607">
        <v>4</v>
      </c>
      <c r="P29" s="538">
        <v>1</v>
      </c>
      <c r="Q29" s="538"/>
      <c r="R29" s="538"/>
      <c r="S29" s="538"/>
      <c r="T29" s="538">
        <v>6</v>
      </c>
      <c r="U29" s="538"/>
      <c r="V29" s="538"/>
      <c r="W29" s="584"/>
      <c r="X29" s="538">
        <v>3</v>
      </c>
      <c r="Y29" s="538">
        <v>3</v>
      </c>
      <c r="Z29" s="538"/>
      <c r="AA29" s="539"/>
      <c r="AB29" s="687"/>
      <c r="AC29" s="687"/>
      <c r="AD29" s="687">
        <v>2</v>
      </c>
      <c r="AE29" s="687"/>
      <c r="AF29" s="687">
        <v>2</v>
      </c>
      <c r="AG29" s="687"/>
      <c r="AH29" s="687"/>
      <c r="AI29" s="688"/>
      <c r="AJ29" s="687"/>
      <c r="AK29" s="687"/>
      <c r="AL29" s="837"/>
      <c r="AM29" s="851">
        <v>1</v>
      </c>
      <c r="AN29" s="852"/>
      <c r="AO29" s="858">
        <v>1</v>
      </c>
      <c r="AP29" s="858">
        <v>7</v>
      </c>
      <c r="AQ29" s="858"/>
      <c r="AR29" s="858"/>
      <c r="AS29" s="858"/>
      <c r="AT29" s="858"/>
      <c r="AU29" s="858"/>
      <c r="AV29" s="858"/>
      <c r="AW29" s="845">
        <f>SUM(D29:U29)</f>
        <v>12</v>
      </c>
      <c r="AX29" s="537">
        <f>SUM(V29:AG29)</f>
        <v>10</v>
      </c>
      <c r="AY29" s="537">
        <f>SUM(W29:AW29)</f>
        <v>31</v>
      </c>
      <c r="AZ29" s="863">
        <f>SUM(AB29:AP29)</f>
        <v>13</v>
      </c>
      <c r="BA29" s="537">
        <f t="shared" si="0"/>
        <v>8</v>
      </c>
      <c r="BB29" s="197" t="str">
        <f t="shared" ca="1" si="1"/>
        <v>5nam,7thang,6ngay.</v>
      </c>
    </row>
    <row r="30" spans="1:54" s="635" customFormat="1" ht="18" customHeight="1">
      <c r="A30" s="423">
        <f t="shared" si="2"/>
        <v>27</v>
      </c>
      <c r="B30" s="632" t="s">
        <v>239</v>
      </c>
      <c r="C30" s="633">
        <v>41706</v>
      </c>
      <c r="D30" s="538"/>
      <c r="E30" s="538"/>
      <c r="F30" s="538"/>
      <c r="G30" s="538">
        <v>3</v>
      </c>
      <c r="H30" s="538"/>
      <c r="I30" s="538">
        <v>3</v>
      </c>
      <c r="J30" s="538"/>
      <c r="K30" s="538"/>
      <c r="L30" s="538">
        <v>2</v>
      </c>
      <c r="M30" s="538"/>
      <c r="N30" s="538"/>
      <c r="O30" s="539"/>
      <c r="P30" s="538">
        <v>4</v>
      </c>
      <c r="Q30" s="538"/>
      <c r="R30" s="538"/>
      <c r="S30" s="538"/>
      <c r="T30" s="538">
        <v>3</v>
      </c>
      <c r="U30" s="538">
        <v>3</v>
      </c>
      <c r="V30" s="538">
        <v>1</v>
      </c>
      <c r="W30" s="584">
        <v>3</v>
      </c>
      <c r="X30" s="538">
        <v>2</v>
      </c>
      <c r="Y30" s="538"/>
      <c r="Z30" s="538"/>
      <c r="AA30" s="539"/>
      <c r="AB30" s="687">
        <v>3</v>
      </c>
      <c r="AC30" s="687">
        <v>3</v>
      </c>
      <c r="AD30" s="687"/>
      <c r="AE30" s="687">
        <v>1</v>
      </c>
      <c r="AF30" s="687"/>
      <c r="AG30" s="687">
        <v>1</v>
      </c>
      <c r="AH30" s="687">
        <v>4</v>
      </c>
      <c r="AI30" s="688"/>
      <c r="AJ30" s="687"/>
      <c r="AK30" s="687"/>
      <c r="AL30" s="837"/>
      <c r="AM30" s="851"/>
      <c r="AN30" s="852"/>
      <c r="AO30" s="858"/>
      <c r="AP30" s="858"/>
      <c r="AQ30" s="858"/>
      <c r="AR30" s="858">
        <v>5</v>
      </c>
      <c r="AS30" s="858">
        <v>2</v>
      </c>
      <c r="AT30" s="858"/>
      <c r="AU30" s="858"/>
      <c r="AV30" s="858"/>
      <c r="AW30" s="846">
        <f>SUM(D30:S30)</f>
        <v>12</v>
      </c>
      <c r="AX30" s="537">
        <f>SUM(T30:AA30)</f>
        <v>12</v>
      </c>
      <c r="AY30" s="634">
        <f>SUM(U30:AW30)</f>
        <v>40</v>
      </c>
      <c r="AZ30" s="634">
        <f>SUM(AB30:AM30)</f>
        <v>12</v>
      </c>
      <c r="BA30" s="537">
        <f t="shared" si="0"/>
        <v>7</v>
      </c>
      <c r="BB30" s="635" t="str">
        <f t="shared" ca="1" si="1"/>
        <v>5nam,6thang,10ngay.</v>
      </c>
    </row>
    <row r="31" spans="1:54" s="197" customFormat="1" ht="18" customHeight="1">
      <c r="A31" s="423">
        <f t="shared" si="2"/>
        <v>28</v>
      </c>
      <c r="B31" s="536" t="s">
        <v>86</v>
      </c>
      <c r="C31" s="611">
        <v>41786</v>
      </c>
      <c r="D31" s="606"/>
      <c r="E31" s="606"/>
      <c r="F31" s="606"/>
      <c r="G31" s="606"/>
      <c r="H31" s="606"/>
      <c r="I31" s="606"/>
      <c r="J31" s="606"/>
      <c r="K31" s="606"/>
      <c r="L31" s="606">
        <v>2</v>
      </c>
      <c r="M31" s="606">
        <v>1</v>
      </c>
      <c r="N31" s="606">
        <v>1</v>
      </c>
      <c r="O31" s="607"/>
      <c r="P31" s="538"/>
      <c r="Q31" s="538"/>
      <c r="R31" s="538"/>
      <c r="S31" s="538"/>
      <c r="T31" s="538"/>
      <c r="U31" s="538"/>
      <c r="V31" s="538">
        <v>1</v>
      </c>
      <c r="W31" s="584"/>
      <c r="X31" s="538">
        <v>1</v>
      </c>
      <c r="Y31" s="538"/>
      <c r="Z31" s="538"/>
      <c r="AA31" s="539">
        <v>1</v>
      </c>
      <c r="AB31" s="687">
        <v>1</v>
      </c>
      <c r="AC31" s="687">
        <v>2</v>
      </c>
      <c r="AD31" s="687">
        <v>1</v>
      </c>
      <c r="AE31" s="687"/>
      <c r="AF31" s="687">
        <v>2</v>
      </c>
      <c r="AG31" s="687">
        <v>2</v>
      </c>
      <c r="AH31" s="687"/>
      <c r="AI31" s="688">
        <v>1</v>
      </c>
      <c r="AJ31" s="687"/>
      <c r="AK31" s="687"/>
      <c r="AL31" s="837"/>
      <c r="AM31" s="851"/>
      <c r="AN31" s="852"/>
      <c r="AO31" s="858"/>
      <c r="AP31" s="858"/>
      <c r="AQ31" s="858"/>
      <c r="AR31" s="858"/>
      <c r="AS31" s="858"/>
      <c r="AT31" s="858">
        <v>1.5</v>
      </c>
      <c r="AU31" s="858">
        <v>2</v>
      </c>
      <c r="AV31" s="858"/>
      <c r="AW31" s="845">
        <f>SUM(D31:U31)</f>
        <v>4</v>
      </c>
      <c r="AX31" s="537">
        <f>SUM(V31:AG31)</f>
        <v>11</v>
      </c>
      <c r="AY31" s="537">
        <f>SUM(W31:AW31)</f>
        <v>18.5</v>
      </c>
      <c r="AZ31" s="537">
        <f>SUM(AH31:AM31)</f>
        <v>1</v>
      </c>
      <c r="BA31" s="537">
        <f t="shared" si="0"/>
        <v>3.5</v>
      </c>
      <c r="BB31" s="197" t="str">
        <f t="shared" ca="1" si="1"/>
        <v>5nam,3thang,22ngay.</v>
      </c>
    </row>
    <row r="32" spans="1:54" s="197" customFormat="1" ht="18" customHeight="1">
      <c r="A32" s="423">
        <f t="shared" si="2"/>
        <v>29</v>
      </c>
      <c r="B32" s="536" t="s">
        <v>90</v>
      </c>
      <c r="C32" s="611">
        <v>41956</v>
      </c>
      <c r="D32" s="606"/>
      <c r="E32" s="606"/>
      <c r="F32" s="606"/>
      <c r="G32" s="606"/>
      <c r="H32" s="606"/>
      <c r="I32" s="606"/>
      <c r="J32" s="606"/>
      <c r="K32" s="606"/>
      <c r="L32" s="606">
        <v>1</v>
      </c>
      <c r="M32" s="606"/>
      <c r="N32" s="606">
        <v>2</v>
      </c>
      <c r="O32" s="607">
        <v>1</v>
      </c>
      <c r="P32" s="538"/>
      <c r="Q32" s="538">
        <v>1</v>
      </c>
      <c r="R32" s="538"/>
      <c r="S32" s="538">
        <v>2</v>
      </c>
      <c r="T32" s="538">
        <v>5</v>
      </c>
      <c r="U32" s="538">
        <v>1</v>
      </c>
      <c r="V32" s="538"/>
      <c r="W32" s="584"/>
      <c r="X32" s="538"/>
      <c r="Y32" s="538"/>
      <c r="Z32" s="538">
        <v>1</v>
      </c>
      <c r="AA32" s="539"/>
      <c r="AB32" s="687"/>
      <c r="AC32" s="687"/>
      <c r="AD32" s="687"/>
      <c r="AE32" s="687">
        <v>1</v>
      </c>
      <c r="AF32" s="687">
        <v>1</v>
      </c>
      <c r="AG32" s="687"/>
      <c r="AH32" s="687"/>
      <c r="AI32" s="688"/>
      <c r="AJ32" s="687"/>
      <c r="AK32" s="687">
        <v>1</v>
      </c>
      <c r="AL32" s="837"/>
      <c r="AM32" s="851"/>
      <c r="AN32" s="852"/>
      <c r="AO32" s="858"/>
      <c r="AP32" s="858"/>
      <c r="AQ32" s="858"/>
      <c r="AR32" s="858"/>
      <c r="AS32" s="858">
        <v>4</v>
      </c>
      <c r="AT32" s="858">
        <v>3</v>
      </c>
      <c r="AU32" s="858"/>
      <c r="AV32" s="858"/>
      <c r="AW32" s="845">
        <f>SUM(D32:T32)</f>
        <v>12</v>
      </c>
      <c r="AX32" s="537">
        <f>SUM(V32:AG32)</f>
        <v>3</v>
      </c>
      <c r="AY32" s="537">
        <f>SUM(V32:AW32)</f>
        <v>23</v>
      </c>
      <c r="AZ32" s="537">
        <f>SUM(AH32:AM32)</f>
        <v>1</v>
      </c>
      <c r="BA32" s="537">
        <f t="shared" si="0"/>
        <v>7</v>
      </c>
      <c r="BB32" s="197" t="str">
        <f t="shared" ca="1" si="1"/>
        <v>4nam,10thang,5ngay.</v>
      </c>
    </row>
    <row r="33" spans="1:54" s="197" customFormat="1" ht="18" customHeight="1">
      <c r="A33" s="423">
        <f t="shared" si="2"/>
        <v>30</v>
      </c>
      <c r="B33" s="536" t="s">
        <v>91</v>
      </c>
      <c r="C33" s="611">
        <v>41967</v>
      </c>
      <c r="D33" s="606"/>
      <c r="E33" s="606"/>
      <c r="F33" s="606"/>
      <c r="G33" s="606"/>
      <c r="H33" s="606"/>
      <c r="I33" s="606"/>
      <c r="J33" s="606"/>
      <c r="K33" s="606"/>
      <c r="L33" s="606"/>
      <c r="M33" s="606">
        <v>3</v>
      </c>
      <c r="N33" s="606"/>
      <c r="O33" s="607">
        <v>1</v>
      </c>
      <c r="P33" s="538">
        <v>1</v>
      </c>
      <c r="Q33" s="538">
        <v>2</v>
      </c>
      <c r="R33" s="538"/>
      <c r="S33" s="538"/>
      <c r="T33" s="538"/>
      <c r="U33" s="538">
        <v>2</v>
      </c>
      <c r="V33" s="538"/>
      <c r="W33" s="584"/>
      <c r="X33" s="538">
        <v>2</v>
      </c>
      <c r="Y33" s="538"/>
      <c r="Z33" s="538"/>
      <c r="AA33" s="539">
        <v>1</v>
      </c>
      <c r="AB33" s="687"/>
      <c r="AC33" s="687"/>
      <c r="AD33" s="687"/>
      <c r="AE33" s="687"/>
      <c r="AF33" s="687"/>
      <c r="AG33" s="687">
        <v>1</v>
      </c>
      <c r="AH33" s="687"/>
      <c r="AI33" s="688">
        <v>1</v>
      </c>
      <c r="AJ33" s="687">
        <v>1</v>
      </c>
      <c r="AK33" s="687">
        <v>1</v>
      </c>
      <c r="AL33" s="837"/>
      <c r="AM33" s="851"/>
      <c r="AN33" s="852"/>
      <c r="AO33" s="858"/>
      <c r="AP33" s="858"/>
      <c r="AQ33" s="858">
        <v>1</v>
      </c>
      <c r="AR33" s="858"/>
      <c r="AS33" s="858">
        <v>1</v>
      </c>
      <c r="AT33" s="858">
        <v>1</v>
      </c>
      <c r="AU33" s="858">
        <v>2</v>
      </c>
      <c r="AV33" s="858"/>
      <c r="AW33" s="845">
        <f>SUM(D33:U33)</f>
        <v>9</v>
      </c>
      <c r="AX33" s="537">
        <f>SUM(V33:AG33)</f>
        <v>4</v>
      </c>
      <c r="AY33" s="537">
        <f>SUM(W33:AW33)</f>
        <v>21</v>
      </c>
      <c r="AZ33" s="537">
        <f>SUM(AH33:AR33)</f>
        <v>4</v>
      </c>
      <c r="BA33" s="537">
        <f t="shared" si="0"/>
        <v>5</v>
      </c>
      <c r="BB33" s="197" t="str">
        <f t="shared" ca="1" si="1"/>
        <v>4nam,9thang,25ngay.</v>
      </c>
    </row>
    <row r="34" spans="1:54" s="635" customFormat="1" ht="18" customHeight="1">
      <c r="A34" s="423">
        <f t="shared" si="2"/>
        <v>31</v>
      </c>
      <c r="B34" s="632" t="s">
        <v>240</v>
      </c>
      <c r="C34" s="633">
        <v>42065</v>
      </c>
      <c r="D34" s="538"/>
      <c r="E34" s="538"/>
      <c r="F34" s="538"/>
      <c r="G34" s="538"/>
      <c r="H34" s="538"/>
      <c r="I34" s="538"/>
      <c r="J34" s="538"/>
      <c r="K34" s="538"/>
      <c r="L34" s="538">
        <v>1</v>
      </c>
      <c r="M34" s="538">
        <v>4</v>
      </c>
      <c r="N34" s="538">
        <v>1</v>
      </c>
      <c r="O34" s="539">
        <v>2</v>
      </c>
      <c r="P34" s="538">
        <v>2</v>
      </c>
      <c r="Q34" s="538">
        <v>2</v>
      </c>
      <c r="R34" s="538">
        <v>3</v>
      </c>
      <c r="S34" s="538">
        <v>1</v>
      </c>
      <c r="T34" s="538">
        <v>3</v>
      </c>
      <c r="U34" s="538">
        <v>3</v>
      </c>
      <c r="V34" s="538">
        <v>1</v>
      </c>
      <c r="W34" s="584">
        <v>1</v>
      </c>
      <c r="X34" s="538"/>
      <c r="Y34" s="538"/>
      <c r="Z34" s="538"/>
      <c r="AA34" s="539"/>
      <c r="AB34" s="687"/>
      <c r="AC34" s="687"/>
      <c r="AD34" s="687">
        <v>4</v>
      </c>
      <c r="AE34" s="687"/>
      <c r="AF34" s="687"/>
      <c r="AG34" s="687">
        <v>1</v>
      </c>
      <c r="AH34" s="687"/>
      <c r="AI34" s="688"/>
      <c r="AJ34" s="687">
        <v>1</v>
      </c>
      <c r="AK34" s="687">
        <v>3</v>
      </c>
      <c r="AL34" s="837"/>
      <c r="AM34" s="851"/>
      <c r="AN34" s="852"/>
      <c r="AO34" s="858"/>
      <c r="AP34" s="858">
        <v>3</v>
      </c>
      <c r="AQ34" s="858"/>
      <c r="AR34" s="858"/>
      <c r="AS34" s="858"/>
      <c r="AT34" s="858"/>
      <c r="AU34" s="858">
        <v>2</v>
      </c>
      <c r="AV34" s="858"/>
      <c r="AW34" s="846">
        <f>SUM(D34:Q34)</f>
        <v>12</v>
      </c>
      <c r="AX34" s="537">
        <f>SUM(R34:AC34)</f>
        <v>12</v>
      </c>
      <c r="AY34" s="634">
        <f>SUM(S34:AW34)</f>
        <v>35</v>
      </c>
      <c r="AZ34" s="634">
        <f>SUM(AB34:AP34)</f>
        <v>12</v>
      </c>
      <c r="BA34" s="537">
        <f t="shared" si="0"/>
        <v>5</v>
      </c>
      <c r="BB34" s="635" t="str">
        <f t="shared" ca="1" si="1"/>
        <v>4nam,6thang,16ngay.</v>
      </c>
    </row>
    <row r="35" spans="1:54" s="197" customFormat="1" ht="18" customHeight="1">
      <c r="A35" s="423">
        <f t="shared" si="2"/>
        <v>32</v>
      </c>
      <c r="B35" s="536" t="s">
        <v>369</v>
      </c>
      <c r="C35" s="611">
        <v>42066</v>
      </c>
      <c r="D35" s="606"/>
      <c r="E35" s="606"/>
      <c r="F35" s="606"/>
      <c r="G35" s="606"/>
      <c r="H35" s="606"/>
      <c r="I35" s="606"/>
      <c r="J35" s="606"/>
      <c r="K35" s="606"/>
      <c r="L35" s="606"/>
      <c r="M35" s="606">
        <v>1</v>
      </c>
      <c r="N35" s="606"/>
      <c r="O35" s="607"/>
      <c r="P35" s="538"/>
      <c r="Q35" s="538"/>
      <c r="R35" s="538"/>
      <c r="S35" s="538"/>
      <c r="T35" s="538">
        <v>4</v>
      </c>
      <c r="U35" s="538">
        <v>2</v>
      </c>
      <c r="V35" s="538">
        <v>1</v>
      </c>
      <c r="W35" s="584"/>
      <c r="X35" s="538">
        <v>2</v>
      </c>
      <c r="Y35" s="538"/>
      <c r="Z35" s="538"/>
      <c r="AA35" s="539"/>
      <c r="AB35" s="687"/>
      <c r="AC35" s="687"/>
      <c r="AD35" s="687"/>
      <c r="AE35" s="687"/>
      <c r="AF35" s="687">
        <v>1</v>
      </c>
      <c r="AG35" s="687"/>
      <c r="AH35" s="687"/>
      <c r="AI35" s="688">
        <v>1</v>
      </c>
      <c r="AJ35" s="687"/>
      <c r="AK35" s="687"/>
      <c r="AL35" s="837"/>
      <c r="AM35" s="851">
        <v>1</v>
      </c>
      <c r="AN35" s="852"/>
      <c r="AO35" s="858"/>
      <c r="AP35" s="858"/>
      <c r="AQ35" s="858">
        <v>7</v>
      </c>
      <c r="AR35" s="858"/>
      <c r="AS35" s="858"/>
      <c r="AT35" s="858"/>
      <c r="AU35" s="858">
        <v>1</v>
      </c>
      <c r="AV35" s="858"/>
      <c r="AW35" s="845">
        <f>SUM(D35:U35)</f>
        <v>7</v>
      </c>
      <c r="AX35" s="537">
        <f t="shared" ref="AX35:AX56" si="6">SUM(V35:AG35)</f>
        <v>4</v>
      </c>
      <c r="AY35" s="537">
        <f>SUM(W35:AW35)</f>
        <v>20</v>
      </c>
      <c r="AZ35" s="537">
        <f>SUM(AH35:AR35)</f>
        <v>9</v>
      </c>
      <c r="BA35" s="537">
        <f t="shared" si="0"/>
        <v>8</v>
      </c>
      <c r="BB35" s="197" t="str">
        <f t="shared" ca="1" si="1"/>
        <v>4nam,6thang,15ngay.</v>
      </c>
    </row>
    <row r="36" spans="1:54" s="197" customFormat="1" ht="18" customHeight="1">
      <c r="A36" s="423">
        <f t="shared" si="2"/>
        <v>33</v>
      </c>
      <c r="B36" s="536" t="s">
        <v>93</v>
      </c>
      <c r="C36" s="611">
        <v>42066</v>
      </c>
      <c r="D36" s="606"/>
      <c r="E36" s="606"/>
      <c r="F36" s="606"/>
      <c r="G36" s="606"/>
      <c r="H36" s="606"/>
      <c r="I36" s="606"/>
      <c r="J36" s="606">
        <v>3</v>
      </c>
      <c r="K36" s="606"/>
      <c r="L36" s="606"/>
      <c r="M36" s="606"/>
      <c r="N36" s="606">
        <v>1</v>
      </c>
      <c r="O36" s="607">
        <v>1</v>
      </c>
      <c r="P36" s="538">
        <v>3</v>
      </c>
      <c r="Q36" s="538"/>
      <c r="R36" s="538"/>
      <c r="S36" s="538"/>
      <c r="T36" s="538"/>
      <c r="U36" s="538">
        <v>3</v>
      </c>
      <c r="V36" s="538">
        <v>1</v>
      </c>
      <c r="W36" s="584"/>
      <c r="X36" s="538"/>
      <c r="Y36" s="538"/>
      <c r="Z36" s="538"/>
      <c r="AA36" s="539"/>
      <c r="AB36" s="687"/>
      <c r="AC36" s="687"/>
      <c r="AD36" s="687"/>
      <c r="AE36" s="687"/>
      <c r="AF36" s="687"/>
      <c r="AG36" s="687">
        <v>1</v>
      </c>
      <c r="AH36" s="687">
        <v>1</v>
      </c>
      <c r="AI36" s="688"/>
      <c r="AJ36" s="687"/>
      <c r="AK36" s="687"/>
      <c r="AL36" s="837"/>
      <c r="AM36" s="851"/>
      <c r="AN36" s="852"/>
      <c r="AO36" s="858"/>
      <c r="AP36" s="858"/>
      <c r="AQ36" s="858"/>
      <c r="AR36" s="858"/>
      <c r="AS36" s="858">
        <v>1</v>
      </c>
      <c r="AT36" s="858">
        <v>3</v>
      </c>
      <c r="AU36" s="858">
        <v>1</v>
      </c>
      <c r="AV36" s="858"/>
      <c r="AW36" s="845">
        <f>SUM(D36:U36)</f>
        <v>11</v>
      </c>
      <c r="AX36" s="537">
        <f t="shared" si="6"/>
        <v>2</v>
      </c>
      <c r="AY36" s="537">
        <f>SUM(W36:AW36)</f>
        <v>18</v>
      </c>
      <c r="AZ36" s="537">
        <f>SUM(AH36:AM36)</f>
        <v>1</v>
      </c>
      <c r="BA36" s="537">
        <f t="shared" ref="BA36:BA68" si="7">SUM(AN36:AU36)</f>
        <v>5</v>
      </c>
      <c r="BB36" s="197" t="str">
        <f t="shared" ref="BB36:BB67" ca="1" si="8">DATEDIF(C36,$BC$1,"Y")&amp;"nam,"&amp;DATEDIF(C36,$BC$1,"YM")&amp;"thang,"&amp;DATEDIF(C36,$BC$1,"MD")&amp;"ngay."</f>
        <v>4nam,6thang,15ngay.</v>
      </c>
    </row>
    <row r="37" spans="1:54" s="197" customFormat="1" ht="18" customHeight="1">
      <c r="A37" s="423">
        <f t="shared" si="2"/>
        <v>34</v>
      </c>
      <c r="B37" s="536" t="s">
        <v>80</v>
      </c>
      <c r="C37" s="611">
        <v>42078</v>
      </c>
      <c r="D37" s="606"/>
      <c r="E37" s="606"/>
      <c r="F37" s="606"/>
      <c r="G37" s="606"/>
      <c r="H37" s="606"/>
      <c r="I37" s="606"/>
      <c r="J37" s="606"/>
      <c r="K37" s="606"/>
      <c r="L37" s="606">
        <v>1</v>
      </c>
      <c r="M37" s="606"/>
      <c r="N37" s="606"/>
      <c r="O37" s="607">
        <v>3</v>
      </c>
      <c r="P37" s="538"/>
      <c r="Q37" s="538"/>
      <c r="R37" s="538"/>
      <c r="S37" s="538">
        <v>1</v>
      </c>
      <c r="T37" s="538">
        <v>1</v>
      </c>
      <c r="U37" s="538"/>
      <c r="V37" s="538"/>
      <c r="W37" s="584"/>
      <c r="X37" s="538"/>
      <c r="Y37" s="538"/>
      <c r="Z37" s="538">
        <v>3</v>
      </c>
      <c r="AA37" s="539"/>
      <c r="AB37" s="687"/>
      <c r="AC37" s="687"/>
      <c r="AD37" s="687"/>
      <c r="AE37" s="687"/>
      <c r="AF37" s="687"/>
      <c r="AG37" s="687"/>
      <c r="AH37" s="687"/>
      <c r="AI37" s="688"/>
      <c r="AJ37" s="687"/>
      <c r="AK37" s="687"/>
      <c r="AL37" s="837"/>
      <c r="AM37" s="851"/>
      <c r="AN37" s="852">
        <v>2</v>
      </c>
      <c r="AO37" s="858"/>
      <c r="AP37" s="858"/>
      <c r="AQ37" s="858">
        <v>2</v>
      </c>
      <c r="AR37" s="858"/>
      <c r="AS37" s="858">
        <v>1</v>
      </c>
      <c r="AT37" s="858"/>
      <c r="AU37" s="858">
        <v>1</v>
      </c>
      <c r="AV37" s="858"/>
      <c r="AW37" s="845">
        <f>SUM(D37:U37)</f>
        <v>6</v>
      </c>
      <c r="AX37" s="537">
        <f t="shared" si="6"/>
        <v>3</v>
      </c>
      <c r="AY37" s="537">
        <f>SUM(W37:AW37)</f>
        <v>15</v>
      </c>
      <c r="AZ37" s="537">
        <f>SUM(AH37:AQ37)</f>
        <v>4</v>
      </c>
      <c r="BA37" s="537">
        <f t="shared" si="7"/>
        <v>6</v>
      </c>
      <c r="BB37" s="197" t="str">
        <f t="shared" ca="1" si="8"/>
        <v>4nam,6thang,3ngay.</v>
      </c>
    </row>
    <row r="38" spans="1:54" s="197" customFormat="1" ht="18" customHeight="1">
      <c r="A38" s="423">
        <f t="shared" si="2"/>
        <v>35</v>
      </c>
      <c r="B38" s="536" t="s">
        <v>78</v>
      </c>
      <c r="C38" s="611">
        <v>40869</v>
      </c>
      <c r="D38" s="606"/>
      <c r="E38" s="606"/>
      <c r="F38" s="606"/>
      <c r="G38" s="606"/>
      <c r="H38" s="606"/>
      <c r="I38" s="606"/>
      <c r="J38" s="606"/>
      <c r="K38" s="606"/>
      <c r="L38" s="606"/>
      <c r="M38" s="606"/>
      <c r="N38" s="606"/>
      <c r="O38" s="607"/>
      <c r="P38" s="538"/>
      <c r="Q38" s="538"/>
      <c r="R38" s="538"/>
      <c r="S38" s="538"/>
      <c r="T38" s="538">
        <v>2</v>
      </c>
      <c r="U38" s="538"/>
      <c r="V38" s="538"/>
      <c r="W38" s="584"/>
      <c r="X38" s="538"/>
      <c r="Y38" s="538"/>
      <c r="Z38" s="538"/>
      <c r="AA38" s="539">
        <v>2</v>
      </c>
      <c r="AB38" s="687">
        <v>3</v>
      </c>
      <c r="AC38" s="687"/>
      <c r="AD38" s="687"/>
      <c r="AE38" s="687">
        <v>4</v>
      </c>
      <c r="AF38" s="687"/>
      <c r="AG38" s="687"/>
      <c r="AH38" s="687"/>
      <c r="AI38" s="688"/>
      <c r="AJ38" s="687"/>
      <c r="AK38" s="687"/>
      <c r="AL38" s="837"/>
      <c r="AM38" s="851">
        <v>1</v>
      </c>
      <c r="AN38" s="852"/>
      <c r="AO38" s="858"/>
      <c r="AP38" s="858"/>
      <c r="AQ38" s="858">
        <v>1</v>
      </c>
      <c r="AR38" s="858"/>
      <c r="AS38" s="858">
        <v>1</v>
      </c>
      <c r="AT38" s="858">
        <v>1</v>
      </c>
      <c r="AU38" s="858">
        <v>1</v>
      </c>
      <c r="AV38" s="858"/>
      <c r="AW38" s="845">
        <f>SUM(D38:U38)</f>
        <v>2</v>
      </c>
      <c r="AX38" s="537">
        <f t="shared" si="6"/>
        <v>9</v>
      </c>
      <c r="AY38" s="537">
        <f>SUM(W38:AW38)</f>
        <v>16</v>
      </c>
      <c r="AZ38" s="537">
        <f>SUM(AG38:AQ38)</f>
        <v>2</v>
      </c>
      <c r="BA38" s="537">
        <f t="shared" si="7"/>
        <v>4</v>
      </c>
      <c r="BB38" s="197" t="str">
        <f t="shared" ca="1" si="8"/>
        <v>7nam,9thang,27ngay.</v>
      </c>
    </row>
    <row r="39" spans="1:54" s="197" customFormat="1" ht="18" customHeight="1">
      <c r="A39" s="423">
        <f t="shared" si="2"/>
        <v>36</v>
      </c>
      <c r="B39" s="536" t="s">
        <v>82</v>
      </c>
      <c r="C39" s="611">
        <v>42201</v>
      </c>
      <c r="D39" s="606"/>
      <c r="E39" s="606"/>
      <c r="F39" s="606"/>
      <c r="G39" s="606"/>
      <c r="H39" s="606"/>
      <c r="I39" s="606"/>
      <c r="J39" s="606"/>
      <c r="K39" s="606"/>
      <c r="L39" s="606"/>
      <c r="M39" s="606"/>
      <c r="N39" s="606"/>
      <c r="O39" s="607"/>
      <c r="P39" s="538">
        <v>1</v>
      </c>
      <c r="Q39" s="538">
        <v>1</v>
      </c>
      <c r="R39" s="538">
        <v>1</v>
      </c>
      <c r="S39" s="538"/>
      <c r="T39" s="538">
        <v>1</v>
      </c>
      <c r="U39" s="538">
        <v>1</v>
      </c>
      <c r="V39" s="538">
        <v>1</v>
      </c>
      <c r="W39" s="584">
        <v>1</v>
      </c>
      <c r="X39" s="538">
        <v>3</v>
      </c>
      <c r="Y39" s="538"/>
      <c r="Z39" s="538">
        <v>1</v>
      </c>
      <c r="AA39" s="539">
        <v>2</v>
      </c>
      <c r="AB39" s="687"/>
      <c r="AC39" s="687"/>
      <c r="AD39" s="687">
        <v>1</v>
      </c>
      <c r="AE39" s="687"/>
      <c r="AF39" s="687"/>
      <c r="AG39" s="687">
        <v>3</v>
      </c>
      <c r="AH39" s="687">
        <v>3</v>
      </c>
      <c r="AI39" s="688"/>
      <c r="AJ39" s="687"/>
      <c r="AK39" s="687"/>
      <c r="AL39" s="837"/>
      <c r="AM39" s="851"/>
      <c r="AN39" s="852"/>
      <c r="AO39" s="858"/>
      <c r="AP39" s="858"/>
      <c r="AQ39" s="858">
        <v>1</v>
      </c>
      <c r="AR39" s="858"/>
      <c r="AS39" s="858"/>
      <c r="AT39" s="858">
        <v>1</v>
      </c>
      <c r="AU39" s="858">
        <v>1</v>
      </c>
      <c r="AV39" s="858"/>
      <c r="AW39" s="845">
        <f>SUM(D39:U39)</f>
        <v>5</v>
      </c>
      <c r="AX39" s="537">
        <f t="shared" si="6"/>
        <v>12</v>
      </c>
      <c r="AY39" s="537">
        <f>SUM(W39:AW39)</f>
        <v>22</v>
      </c>
      <c r="AZ39" s="537">
        <f>SUM(AH39:AQ39)</f>
        <v>4</v>
      </c>
      <c r="BA39" s="537">
        <f t="shared" si="7"/>
        <v>3</v>
      </c>
      <c r="BB39" s="197" t="str">
        <f t="shared" ca="1" si="8"/>
        <v>4nam,2thang,2ngay.</v>
      </c>
    </row>
    <row r="40" spans="1:54" s="197" customFormat="1" ht="18" customHeight="1">
      <c r="A40" s="423">
        <f t="shared" si="2"/>
        <v>37</v>
      </c>
      <c r="B40" s="536" t="s">
        <v>79</v>
      </c>
      <c r="C40" s="611">
        <v>41232</v>
      </c>
      <c r="D40" s="606"/>
      <c r="E40" s="606"/>
      <c r="F40" s="606"/>
      <c r="G40" s="606"/>
      <c r="H40" s="606"/>
      <c r="I40" s="606"/>
      <c r="J40" s="606"/>
      <c r="K40" s="606"/>
      <c r="L40" s="606"/>
      <c r="M40" s="606">
        <v>2</v>
      </c>
      <c r="N40" s="606">
        <v>2</v>
      </c>
      <c r="O40" s="607">
        <v>1</v>
      </c>
      <c r="P40" s="538">
        <v>2</v>
      </c>
      <c r="Q40" s="538">
        <v>2</v>
      </c>
      <c r="R40" s="538">
        <v>2</v>
      </c>
      <c r="S40" s="538">
        <v>1</v>
      </c>
      <c r="T40" s="538">
        <v>1</v>
      </c>
      <c r="U40" s="538">
        <v>3</v>
      </c>
      <c r="V40" s="538">
        <v>2</v>
      </c>
      <c r="W40" s="584">
        <v>2</v>
      </c>
      <c r="X40" s="538"/>
      <c r="Y40" s="538"/>
      <c r="Z40" s="538"/>
      <c r="AA40" s="539"/>
      <c r="AB40" s="687">
        <v>1</v>
      </c>
      <c r="AC40" s="687"/>
      <c r="AD40" s="687">
        <v>2</v>
      </c>
      <c r="AE40" s="687">
        <v>2</v>
      </c>
      <c r="AF40" s="687">
        <v>1</v>
      </c>
      <c r="AG40" s="687">
        <v>1</v>
      </c>
      <c r="AH40" s="687">
        <v>2</v>
      </c>
      <c r="AI40" s="688">
        <v>2</v>
      </c>
      <c r="AJ40" s="687"/>
      <c r="AK40" s="687"/>
      <c r="AL40" s="837"/>
      <c r="AM40" s="851"/>
      <c r="AN40" s="852"/>
      <c r="AO40" s="858"/>
      <c r="AP40" s="858"/>
      <c r="AQ40" s="858"/>
      <c r="AR40" s="858"/>
      <c r="AS40" s="858"/>
      <c r="AT40" s="858"/>
      <c r="AU40" s="858"/>
      <c r="AV40" s="858"/>
      <c r="AW40" s="845">
        <f>SUM(D40:T40)</f>
        <v>13</v>
      </c>
      <c r="AX40" s="537">
        <f t="shared" si="6"/>
        <v>11</v>
      </c>
      <c r="AY40" s="537">
        <f>SUM(V40:AW40)</f>
        <v>28</v>
      </c>
      <c r="AZ40" s="537">
        <f>SUM(AH40:AM40)</f>
        <v>4</v>
      </c>
      <c r="BA40" s="537">
        <f t="shared" si="7"/>
        <v>0</v>
      </c>
      <c r="BB40" s="197" t="str">
        <f t="shared" ca="1" si="8"/>
        <v>6nam,9thang,30ngay.</v>
      </c>
    </row>
    <row r="41" spans="1:54" s="197" customFormat="1" ht="18" customHeight="1">
      <c r="A41" s="423">
        <f t="shared" si="2"/>
        <v>38</v>
      </c>
      <c r="B41" s="536" t="s">
        <v>563</v>
      </c>
      <c r="C41" s="611">
        <v>42362</v>
      </c>
      <c r="D41" s="606"/>
      <c r="E41" s="606"/>
      <c r="F41" s="606"/>
      <c r="G41" s="606"/>
      <c r="H41" s="606"/>
      <c r="I41" s="606"/>
      <c r="J41" s="606"/>
      <c r="K41" s="606"/>
      <c r="L41" s="606"/>
      <c r="M41" s="606"/>
      <c r="N41" s="606"/>
      <c r="O41" s="607"/>
      <c r="P41" s="538">
        <v>2</v>
      </c>
      <c r="Q41" s="538"/>
      <c r="R41" s="538"/>
      <c r="S41" s="538">
        <v>2</v>
      </c>
      <c r="T41" s="538">
        <v>2</v>
      </c>
      <c r="U41" s="538">
        <v>2</v>
      </c>
      <c r="V41" s="538">
        <v>2</v>
      </c>
      <c r="W41" s="584">
        <v>2</v>
      </c>
      <c r="X41" s="538"/>
      <c r="Y41" s="538">
        <v>2</v>
      </c>
      <c r="Z41" s="538">
        <v>3</v>
      </c>
      <c r="AA41" s="539">
        <v>1</v>
      </c>
      <c r="AB41" s="687"/>
      <c r="AC41" s="687"/>
      <c r="AD41" s="687"/>
      <c r="AE41" s="687"/>
      <c r="AF41" s="687"/>
      <c r="AG41" s="687"/>
      <c r="AH41" s="687"/>
      <c r="AI41" s="688">
        <v>2</v>
      </c>
      <c r="AJ41" s="687"/>
      <c r="AK41" s="687">
        <v>3</v>
      </c>
      <c r="AL41" s="837">
        <v>1</v>
      </c>
      <c r="AM41" s="851">
        <v>2</v>
      </c>
      <c r="AN41" s="852">
        <v>4</v>
      </c>
      <c r="AO41" s="858">
        <v>2</v>
      </c>
      <c r="AP41" s="858">
        <v>2</v>
      </c>
      <c r="AQ41" s="858"/>
      <c r="AR41" s="858">
        <v>1</v>
      </c>
      <c r="AS41" s="858"/>
      <c r="AT41" s="858"/>
      <c r="AU41" s="858"/>
      <c r="AV41" s="858"/>
      <c r="AW41" s="845">
        <f t="shared" ref="AW41:AW87" si="9">SUM(D41:U41)</f>
        <v>8</v>
      </c>
      <c r="AX41" s="537">
        <f t="shared" si="6"/>
        <v>10</v>
      </c>
      <c r="AY41" s="537">
        <f t="shared" ref="AY41:AY87" si="10">SUM(W41:AW41)</f>
        <v>33</v>
      </c>
      <c r="AZ41" s="537">
        <f>SUM(AH41:AN41)</f>
        <v>12</v>
      </c>
      <c r="BA41" s="537">
        <f t="shared" si="7"/>
        <v>9</v>
      </c>
      <c r="BB41" s="197" t="str">
        <f t="shared" ca="1" si="8"/>
        <v>3nam,8thang,25ngay.</v>
      </c>
    </row>
    <row r="42" spans="1:54" s="197" customFormat="1" ht="18" customHeight="1">
      <c r="A42" s="423">
        <f t="shared" si="2"/>
        <v>39</v>
      </c>
      <c r="B42" s="536" t="s">
        <v>572</v>
      </c>
      <c r="C42" s="611">
        <v>42376</v>
      </c>
      <c r="D42" s="606"/>
      <c r="E42" s="606"/>
      <c r="F42" s="606"/>
      <c r="G42" s="606"/>
      <c r="H42" s="606"/>
      <c r="I42" s="606"/>
      <c r="J42" s="606"/>
      <c r="K42" s="606"/>
      <c r="L42" s="606"/>
      <c r="M42" s="606"/>
      <c r="N42" s="606"/>
      <c r="O42" s="607"/>
      <c r="P42" s="538">
        <v>2</v>
      </c>
      <c r="Q42" s="538"/>
      <c r="R42" s="538">
        <v>3</v>
      </c>
      <c r="S42" s="538">
        <v>3</v>
      </c>
      <c r="T42" s="538"/>
      <c r="U42" s="538"/>
      <c r="V42" s="538"/>
      <c r="W42" s="584"/>
      <c r="X42" s="538"/>
      <c r="Y42" s="538"/>
      <c r="Z42" s="538"/>
      <c r="AA42" s="539"/>
      <c r="AB42" s="687"/>
      <c r="AC42" s="687"/>
      <c r="AD42" s="687"/>
      <c r="AE42" s="687"/>
      <c r="AF42" s="687"/>
      <c r="AG42" s="687"/>
      <c r="AH42" s="687"/>
      <c r="AI42" s="688"/>
      <c r="AJ42" s="687"/>
      <c r="AK42" s="687"/>
      <c r="AL42" s="837"/>
      <c r="AM42" s="851"/>
      <c r="AN42" s="852"/>
      <c r="AO42" s="858"/>
      <c r="AP42" s="858"/>
      <c r="AQ42" s="858"/>
      <c r="AR42" s="858"/>
      <c r="AS42" s="858"/>
      <c r="AT42" s="858"/>
      <c r="AU42" s="858"/>
      <c r="AV42" s="858"/>
      <c r="AW42" s="845">
        <f t="shared" si="9"/>
        <v>8</v>
      </c>
      <c r="AX42" s="537">
        <f t="shared" si="6"/>
        <v>0</v>
      </c>
      <c r="AY42" s="537">
        <f t="shared" si="10"/>
        <v>8</v>
      </c>
      <c r="AZ42" s="537">
        <f t="shared" ref="AZ42:AZ48" si="11">SUM(AH42:AM42)</f>
        <v>0</v>
      </c>
      <c r="BA42" s="537">
        <f t="shared" si="7"/>
        <v>0</v>
      </c>
      <c r="BB42" s="197" t="str">
        <f t="shared" ca="1" si="8"/>
        <v>3nam,8thang,11ngay.</v>
      </c>
    </row>
    <row r="43" spans="1:54" s="197" customFormat="1" ht="18" customHeight="1">
      <c r="A43" s="423">
        <f t="shared" si="2"/>
        <v>40</v>
      </c>
      <c r="B43" s="536" t="s">
        <v>578</v>
      </c>
      <c r="C43" s="611">
        <v>42387</v>
      </c>
      <c r="D43" s="606"/>
      <c r="E43" s="606"/>
      <c r="F43" s="606"/>
      <c r="G43" s="606"/>
      <c r="H43" s="606"/>
      <c r="I43" s="606"/>
      <c r="J43" s="606"/>
      <c r="K43" s="606"/>
      <c r="L43" s="606"/>
      <c r="M43" s="606"/>
      <c r="N43" s="606"/>
      <c r="O43" s="607"/>
      <c r="P43" s="538">
        <v>1</v>
      </c>
      <c r="Q43" s="538">
        <v>1</v>
      </c>
      <c r="R43" s="538"/>
      <c r="S43" s="538">
        <v>1</v>
      </c>
      <c r="T43" s="538">
        <v>1</v>
      </c>
      <c r="U43" s="538">
        <v>3</v>
      </c>
      <c r="V43" s="538">
        <v>1</v>
      </c>
      <c r="W43" s="584">
        <v>2</v>
      </c>
      <c r="X43" s="538">
        <v>2</v>
      </c>
      <c r="Y43" s="538">
        <v>1</v>
      </c>
      <c r="Z43" s="538">
        <v>1</v>
      </c>
      <c r="AA43" s="539">
        <v>1</v>
      </c>
      <c r="AB43" s="687">
        <v>1</v>
      </c>
      <c r="AC43" s="687"/>
      <c r="AD43" s="687"/>
      <c r="AE43" s="687">
        <v>1</v>
      </c>
      <c r="AF43" s="687"/>
      <c r="AG43" s="687"/>
      <c r="AH43" s="687"/>
      <c r="AI43" s="688">
        <v>1</v>
      </c>
      <c r="AJ43" s="687">
        <v>1</v>
      </c>
      <c r="AK43" s="687">
        <v>2</v>
      </c>
      <c r="AL43" s="837">
        <v>1</v>
      </c>
      <c r="AM43" s="851"/>
      <c r="AN43" s="852"/>
      <c r="AO43" s="858"/>
      <c r="AP43" s="858">
        <v>1</v>
      </c>
      <c r="AQ43" s="858"/>
      <c r="AR43" s="858">
        <v>1</v>
      </c>
      <c r="AS43" s="858">
        <v>2</v>
      </c>
      <c r="AT43" s="858">
        <v>4</v>
      </c>
      <c r="AU43" s="858"/>
      <c r="AV43" s="858"/>
      <c r="AW43" s="845">
        <f t="shared" si="9"/>
        <v>7</v>
      </c>
      <c r="AX43" s="537">
        <f t="shared" si="6"/>
        <v>10</v>
      </c>
      <c r="AY43" s="537">
        <f t="shared" si="10"/>
        <v>29</v>
      </c>
      <c r="AZ43" s="537">
        <f>SUM(AH43:AP43)</f>
        <v>6</v>
      </c>
      <c r="BA43" s="537">
        <f t="shared" si="7"/>
        <v>8</v>
      </c>
      <c r="BB43" s="197" t="str">
        <f t="shared" ca="1" si="8"/>
        <v>3nam,8thang,0ngay.</v>
      </c>
    </row>
    <row r="44" spans="1:54" s="197" customFormat="1" ht="18" customHeight="1">
      <c r="A44" s="423">
        <f t="shared" si="2"/>
        <v>41</v>
      </c>
      <c r="B44" s="536" t="s">
        <v>589</v>
      </c>
      <c r="C44" s="611">
        <v>42413</v>
      </c>
      <c r="D44" s="606"/>
      <c r="E44" s="606"/>
      <c r="F44" s="606"/>
      <c r="G44" s="606"/>
      <c r="H44" s="606"/>
      <c r="I44" s="606"/>
      <c r="J44" s="606"/>
      <c r="K44" s="606"/>
      <c r="L44" s="606"/>
      <c r="M44" s="606"/>
      <c r="N44" s="606"/>
      <c r="O44" s="607"/>
      <c r="P44" s="538"/>
      <c r="Q44" s="538"/>
      <c r="R44" s="538"/>
      <c r="S44" s="538">
        <v>4</v>
      </c>
      <c r="T44" s="538"/>
      <c r="U44" s="538">
        <v>1</v>
      </c>
      <c r="V44" s="538">
        <v>1</v>
      </c>
      <c r="W44" s="584">
        <v>1</v>
      </c>
      <c r="X44" s="538">
        <v>3</v>
      </c>
      <c r="Y44" s="538"/>
      <c r="Z44" s="538">
        <v>3</v>
      </c>
      <c r="AA44" s="539">
        <v>1</v>
      </c>
      <c r="AB44" s="687"/>
      <c r="AC44" s="687"/>
      <c r="AD44" s="687"/>
      <c r="AE44" s="687">
        <v>1</v>
      </c>
      <c r="AF44" s="687"/>
      <c r="AG44" s="687">
        <v>1</v>
      </c>
      <c r="AH44" s="687">
        <v>5</v>
      </c>
      <c r="AI44" s="688">
        <v>1</v>
      </c>
      <c r="AJ44" s="687"/>
      <c r="AK44" s="807">
        <v>0.5</v>
      </c>
      <c r="AL44" s="837"/>
      <c r="AM44" s="851">
        <v>6</v>
      </c>
      <c r="AN44" s="852"/>
      <c r="AO44" s="858">
        <v>3</v>
      </c>
      <c r="AP44" s="858"/>
      <c r="AQ44" s="858"/>
      <c r="AR44" s="858"/>
      <c r="AS44" s="858">
        <v>1</v>
      </c>
      <c r="AT44" s="858"/>
      <c r="AU44" s="858"/>
      <c r="AV44" s="858"/>
      <c r="AW44" s="845">
        <f t="shared" si="9"/>
        <v>5</v>
      </c>
      <c r="AX44" s="537">
        <f t="shared" si="6"/>
        <v>11</v>
      </c>
      <c r="AY44" s="537">
        <f t="shared" si="10"/>
        <v>31.5</v>
      </c>
      <c r="AZ44" s="829">
        <f t="shared" si="11"/>
        <v>12.5</v>
      </c>
      <c r="BA44" s="537">
        <f t="shared" si="7"/>
        <v>4</v>
      </c>
      <c r="BB44" s="197" t="str">
        <f t="shared" ca="1" si="8"/>
        <v>3nam,7thang,5ngay.</v>
      </c>
    </row>
    <row r="45" spans="1:54" s="197" customFormat="1" ht="18" customHeight="1">
      <c r="A45" s="423">
        <f t="shared" si="2"/>
        <v>42</v>
      </c>
      <c r="B45" s="536" t="s">
        <v>599</v>
      </c>
      <c r="C45" s="611">
        <v>42415</v>
      </c>
      <c r="D45" s="606"/>
      <c r="E45" s="606"/>
      <c r="F45" s="606"/>
      <c r="G45" s="606"/>
      <c r="H45" s="606"/>
      <c r="I45" s="606"/>
      <c r="J45" s="606"/>
      <c r="K45" s="606"/>
      <c r="L45" s="606"/>
      <c r="M45" s="606"/>
      <c r="N45" s="606"/>
      <c r="O45" s="607"/>
      <c r="P45" s="538"/>
      <c r="Q45" s="538">
        <v>1</v>
      </c>
      <c r="R45" s="538"/>
      <c r="S45" s="538"/>
      <c r="T45" s="538"/>
      <c r="U45" s="538"/>
      <c r="V45" s="538">
        <v>1</v>
      </c>
      <c r="W45" s="584"/>
      <c r="X45" s="538"/>
      <c r="Y45" s="538"/>
      <c r="Z45" s="538">
        <v>1</v>
      </c>
      <c r="AA45" s="539"/>
      <c r="AB45" s="687"/>
      <c r="AC45" s="687">
        <v>1</v>
      </c>
      <c r="AD45" s="687"/>
      <c r="AE45" s="687">
        <v>1</v>
      </c>
      <c r="AF45" s="687"/>
      <c r="AG45" s="687"/>
      <c r="AH45" s="687"/>
      <c r="AI45" s="688">
        <v>1</v>
      </c>
      <c r="AJ45" s="687">
        <v>1</v>
      </c>
      <c r="AK45" s="687"/>
      <c r="AL45" s="837"/>
      <c r="AM45" s="851"/>
      <c r="AN45" s="852"/>
      <c r="AO45" s="858"/>
      <c r="AP45" s="858"/>
      <c r="AQ45" s="858"/>
      <c r="AR45" s="858"/>
      <c r="AS45" s="858"/>
      <c r="AT45" s="858"/>
      <c r="AU45" s="858">
        <v>1</v>
      </c>
      <c r="AV45" s="858"/>
      <c r="AW45" s="845">
        <f t="shared" si="9"/>
        <v>1</v>
      </c>
      <c r="AX45" s="537">
        <f t="shared" si="6"/>
        <v>4</v>
      </c>
      <c r="AY45" s="537">
        <f t="shared" si="10"/>
        <v>7</v>
      </c>
      <c r="AZ45" s="537">
        <f t="shared" si="11"/>
        <v>2</v>
      </c>
      <c r="BA45" s="537">
        <f t="shared" si="7"/>
        <v>1</v>
      </c>
      <c r="BB45" s="197" t="str">
        <f t="shared" ca="1" si="8"/>
        <v>3nam,7thang,3ngay.</v>
      </c>
    </row>
    <row r="46" spans="1:54" s="197" customFormat="1" ht="18" customHeight="1">
      <c r="A46" s="423">
        <f t="shared" si="2"/>
        <v>43</v>
      </c>
      <c r="B46" s="536" t="s">
        <v>600</v>
      </c>
      <c r="C46" s="611">
        <v>42415</v>
      </c>
      <c r="D46" s="606"/>
      <c r="E46" s="606"/>
      <c r="F46" s="606"/>
      <c r="G46" s="606"/>
      <c r="H46" s="606"/>
      <c r="I46" s="606"/>
      <c r="J46" s="606"/>
      <c r="K46" s="606"/>
      <c r="L46" s="606"/>
      <c r="M46" s="606"/>
      <c r="N46" s="606"/>
      <c r="O46" s="607"/>
      <c r="P46" s="538"/>
      <c r="Q46" s="538">
        <v>1</v>
      </c>
      <c r="R46" s="538"/>
      <c r="S46" s="538"/>
      <c r="T46" s="538">
        <v>1</v>
      </c>
      <c r="U46" s="538"/>
      <c r="V46" s="538"/>
      <c r="W46" s="584"/>
      <c r="X46" s="538">
        <v>1</v>
      </c>
      <c r="Y46" s="538"/>
      <c r="Z46" s="538">
        <v>1</v>
      </c>
      <c r="AA46" s="539"/>
      <c r="AB46" s="687"/>
      <c r="AC46" s="687"/>
      <c r="AD46" s="687"/>
      <c r="AE46" s="687"/>
      <c r="AF46" s="687"/>
      <c r="AG46" s="687">
        <v>2</v>
      </c>
      <c r="AH46" s="687"/>
      <c r="AI46" s="688">
        <v>1</v>
      </c>
      <c r="AJ46" s="687"/>
      <c r="AK46" s="687"/>
      <c r="AL46" s="837">
        <v>1</v>
      </c>
      <c r="AM46" s="851"/>
      <c r="AN46" s="852"/>
      <c r="AO46" s="858"/>
      <c r="AP46" s="858">
        <v>1</v>
      </c>
      <c r="AQ46" s="858">
        <v>1</v>
      </c>
      <c r="AR46" s="858"/>
      <c r="AS46" s="858"/>
      <c r="AT46" s="858"/>
      <c r="AU46" s="858">
        <v>1</v>
      </c>
      <c r="AV46" s="858"/>
      <c r="AW46" s="845">
        <f t="shared" si="9"/>
        <v>2</v>
      </c>
      <c r="AX46" s="537">
        <f t="shared" si="6"/>
        <v>4</v>
      </c>
      <c r="AY46" s="537">
        <f t="shared" si="10"/>
        <v>11</v>
      </c>
      <c r="AZ46" s="537">
        <f>SUM(AH46:AQ46)</f>
        <v>4</v>
      </c>
      <c r="BA46" s="537">
        <f t="shared" si="7"/>
        <v>3</v>
      </c>
      <c r="BB46" s="197" t="str">
        <f t="shared" ca="1" si="8"/>
        <v>3nam,7thang,3ngay.</v>
      </c>
    </row>
    <row r="47" spans="1:54" s="197" customFormat="1" ht="18" customHeight="1">
      <c r="A47" s="423">
        <f t="shared" si="2"/>
        <v>44</v>
      </c>
      <c r="B47" s="536" t="s">
        <v>601</v>
      </c>
      <c r="C47" s="611">
        <v>42415</v>
      </c>
      <c r="D47" s="606"/>
      <c r="E47" s="606"/>
      <c r="F47" s="606"/>
      <c r="G47" s="606"/>
      <c r="H47" s="606"/>
      <c r="I47" s="606"/>
      <c r="J47" s="606"/>
      <c r="K47" s="606"/>
      <c r="L47" s="606"/>
      <c r="M47" s="606"/>
      <c r="N47" s="606"/>
      <c r="O47" s="607"/>
      <c r="P47" s="538"/>
      <c r="Q47" s="538"/>
      <c r="R47" s="538">
        <v>1</v>
      </c>
      <c r="S47" s="538">
        <v>1</v>
      </c>
      <c r="T47" s="538">
        <v>1</v>
      </c>
      <c r="U47" s="538"/>
      <c r="V47" s="538"/>
      <c r="W47" s="584"/>
      <c r="X47" s="538"/>
      <c r="Y47" s="538">
        <v>3</v>
      </c>
      <c r="Z47" s="538">
        <v>1</v>
      </c>
      <c r="AA47" s="539"/>
      <c r="AB47" s="687"/>
      <c r="AC47" s="687"/>
      <c r="AD47" s="687"/>
      <c r="AE47" s="687"/>
      <c r="AF47" s="687">
        <v>2</v>
      </c>
      <c r="AG47" s="687"/>
      <c r="AH47" s="687"/>
      <c r="AI47" s="688"/>
      <c r="AJ47" s="687">
        <v>1</v>
      </c>
      <c r="AK47" s="687">
        <v>4</v>
      </c>
      <c r="AL47" s="837"/>
      <c r="AM47" s="851"/>
      <c r="AN47" s="852"/>
      <c r="AO47" s="858"/>
      <c r="AP47" s="858">
        <v>2</v>
      </c>
      <c r="AQ47" s="858">
        <v>1</v>
      </c>
      <c r="AR47" s="858"/>
      <c r="AS47" s="858"/>
      <c r="AT47" s="858"/>
      <c r="AU47" s="858"/>
      <c r="AV47" s="858"/>
      <c r="AW47" s="845">
        <f t="shared" si="9"/>
        <v>3</v>
      </c>
      <c r="AX47" s="537">
        <f t="shared" si="6"/>
        <v>6</v>
      </c>
      <c r="AY47" s="537">
        <f t="shared" si="10"/>
        <v>17</v>
      </c>
      <c r="AZ47" s="537">
        <f>SUM(AH47:AP47)</f>
        <v>7</v>
      </c>
      <c r="BA47" s="537">
        <f t="shared" si="7"/>
        <v>3</v>
      </c>
      <c r="BB47" s="197" t="str">
        <f t="shared" ca="1" si="8"/>
        <v>3nam,7thang,3ngay.</v>
      </c>
    </row>
    <row r="48" spans="1:54" s="197" customFormat="1" ht="18" customHeight="1">
      <c r="A48" s="423">
        <f t="shared" si="2"/>
        <v>45</v>
      </c>
      <c r="B48" s="536" t="s">
        <v>604</v>
      </c>
      <c r="C48" s="611">
        <v>42415</v>
      </c>
      <c r="D48" s="606"/>
      <c r="E48" s="606"/>
      <c r="F48" s="606"/>
      <c r="G48" s="606"/>
      <c r="H48" s="606"/>
      <c r="I48" s="606"/>
      <c r="J48" s="606"/>
      <c r="K48" s="606"/>
      <c r="L48" s="606"/>
      <c r="M48" s="606"/>
      <c r="N48" s="606"/>
      <c r="O48" s="607"/>
      <c r="P48" s="538"/>
      <c r="Q48" s="538"/>
      <c r="R48" s="538">
        <v>1</v>
      </c>
      <c r="S48" s="538">
        <v>2</v>
      </c>
      <c r="T48" s="538"/>
      <c r="U48" s="538">
        <v>1</v>
      </c>
      <c r="V48" s="538"/>
      <c r="W48" s="584"/>
      <c r="X48" s="538">
        <v>3</v>
      </c>
      <c r="Y48" s="538"/>
      <c r="Z48" s="538">
        <v>2</v>
      </c>
      <c r="AA48" s="539"/>
      <c r="AB48" s="687"/>
      <c r="AC48" s="687"/>
      <c r="AD48" s="687"/>
      <c r="AE48" s="687"/>
      <c r="AF48" s="687"/>
      <c r="AG48" s="687">
        <v>2</v>
      </c>
      <c r="AH48" s="687"/>
      <c r="AI48" s="688"/>
      <c r="AJ48" s="687"/>
      <c r="AK48" s="687">
        <v>1</v>
      </c>
      <c r="AL48" s="837"/>
      <c r="AM48" s="851"/>
      <c r="AN48" s="852"/>
      <c r="AO48" s="858"/>
      <c r="AP48" s="858"/>
      <c r="AQ48" s="858"/>
      <c r="AR48" s="858"/>
      <c r="AS48" s="858">
        <v>2</v>
      </c>
      <c r="AT48" s="858"/>
      <c r="AU48" s="858">
        <v>1</v>
      </c>
      <c r="AV48" s="858"/>
      <c r="AW48" s="845">
        <f t="shared" si="9"/>
        <v>4</v>
      </c>
      <c r="AX48" s="537">
        <f t="shared" si="6"/>
        <v>7</v>
      </c>
      <c r="AY48" s="537">
        <f t="shared" si="10"/>
        <v>15</v>
      </c>
      <c r="AZ48" s="537">
        <f t="shared" si="11"/>
        <v>1</v>
      </c>
      <c r="BA48" s="537">
        <f t="shared" si="7"/>
        <v>3</v>
      </c>
      <c r="BB48" s="197" t="str">
        <f t="shared" ca="1" si="8"/>
        <v>3nam,7thang,3ngay.</v>
      </c>
    </row>
    <row r="49" spans="1:54" s="197" customFormat="1" ht="18" customHeight="1">
      <c r="A49" s="423">
        <f t="shared" si="2"/>
        <v>46</v>
      </c>
      <c r="B49" s="536" t="s">
        <v>603</v>
      </c>
      <c r="C49" s="611">
        <v>42417</v>
      </c>
      <c r="D49" s="606"/>
      <c r="E49" s="606"/>
      <c r="F49" s="606"/>
      <c r="G49" s="606"/>
      <c r="H49" s="606"/>
      <c r="I49" s="606"/>
      <c r="J49" s="606"/>
      <c r="K49" s="606"/>
      <c r="L49" s="606"/>
      <c r="M49" s="606"/>
      <c r="N49" s="606"/>
      <c r="O49" s="607"/>
      <c r="P49" s="538"/>
      <c r="Q49" s="538">
        <v>1</v>
      </c>
      <c r="R49" s="538"/>
      <c r="S49" s="538"/>
      <c r="T49" s="538"/>
      <c r="U49" s="538">
        <v>1</v>
      </c>
      <c r="V49" s="538">
        <v>1</v>
      </c>
      <c r="W49" s="584">
        <v>2</v>
      </c>
      <c r="X49" s="538">
        <v>2</v>
      </c>
      <c r="Y49" s="538"/>
      <c r="Z49" s="538"/>
      <c r="AA49" s="539"/>
      <c r="AB49" s="687">
        <v>1</v>
      </c>
      <c r="AC49" s="687">
        <v>1</v>
      </c>
      <c r="AD49" s="687"/>
      <c r="AE49" s="687"/>
      <c r="AF49" s="687"/>
      <c r="AG49" s="687">
        <v>1</v>
      </c>
      <c r="AH49" s="687">
        <v>1</v>
      </c>
      <c r="AI49" s="688"/>
      <c r="AJ49" s="687"/>
      <c r="AK49" s="687">
        <v>1</v>
      </c>
      <c r="AL49" s="837"/>
      <c r="AM49" s="851"/>
      <c r="AN49" s="852">
        <v>3</v>
      </c>
      <c r="AO49" s="858"/>
      <c r="AP49" s="858">
        <v>7</v>
      </c>
      <c r="AQ49" s="858">
        <v>5</v>
      </c>
      <c r="AR49" s="858"/>
      <c r="AS49" s="858"/>
      <c r="AT49" s="858"/>
      <c r="AU49" s="858"/>
      <c r="AV49" s="858"/>
      <c r="AW49" s="845">
        <f t="shared" si="9"/>
        <v>2</v>
      </c>
      <c r="AX49" s="537">
        <f t="shared" si="6"/>
        <v>8</v>
      </c>
      <c r="AY49" s="537">
        <f t="shared" si="10"/>
        <v>26</v>
      </c>
      <c r="AZ49" s="537">
        <f>SUM(AH49:AP49)</f>
        <v>12</v>
      </c>
      <c r="BA49" s="537">
        <f t="shared" si="7"/>
        <v>15</v>
      </c>
      <c r="BB49" s="197" t="str">
        <f t="shared" ca="1" si="8"/>
        <v>3nam,7thang,1ngay.</v>
      </c>
    </row>
    <row r="50" spans="1:54" s="197" customFormat="1" ht="18" customHeight="1">
      <c r="A50" s="423">
        <f t="shared" si="2"/>
        <v>47</v>
      </c>
      <c r="B50" s="536" t="s">
        <v>614</v>
      </c>
      <c r="C50" s="611">
        <v>42419</v>
      </c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7"/>
      <c r="P50" s="538"/>
      <c r="Q50" s="538">
        <v>2</v>
      </c>
      <c r="R50" s="538"/>
      <c r="S50" s="538"/>
      <c r="T50" s="538">
        <v>1</v>
      </c>
      <c r="U50" s="538">
        <v>1</v>
      </c>
      <c r="V50" s="538">
        <v>1</v>
      </c>
      <c r="W50" s="584">
        <v>1</v>
      </c>
      <c r="X50" s="538"/>
      <c r="Y50" s="538"/>
      <c r="Z50" s="538"/>
      <c r="AA50" s="539">
        <v>1</v>
      </c>
      <c r="AB50" s="687"/>
      <c r="AC50" s="687"/>
      <c r="AD50" s="687">
        <v>1</v>
      </c>
      <c r="AE50" s="687">
        <v>1</v>
      </c>
      <c r="AF50" s="687"/>
      <c r="AG50" s="687"/>
      <c r="AH50" s="687"/>
      <c r="AI50" s="688">
        <v>1</v>
      </c>
      <c r="AJ50" s="687">
        <v>1</v>
      </c>
      <c r="AK50" s="687">
        <v>1</v>
      </c>
      <c r="AL50" s="837">
        <v>1</v>
      </c>
      <c r="AM50" s="851">
        <v>1</v>
      </c>
      <c r="AN50" s="852"/>
      <c r="AO50" s="858"/>
      <c r="AP50" s="858">
        <v>1</v>
      </c>
      <c r="AQ50" s="858"/>
      <c r="AR50" s="858"/>
      <c r="AS50" s="858"/>
      <c r="AT50" s="858"/>
      <c r="AU50" s="858"/>
      <c r="AV50" s="858"/>
      <c r="AW50" s="845">
        <f t="shared" si="9"/>
        <v>4</v>
      </c>
      <c r="AX50" s="537">
        <f t="shared" si="6"/>
        <v>5</v>
      </c>
      <c r="AY50" s="537">
        <f t="shared" si="10"/>
        <v>14</v>
      </c>
      <c r="AZ50" s="537">
        <f>SUM(AH50:AP50)</f>
        <v>6</v>
      </c>
      <c r="BA50" s="537">
        <f t="shared" si="7"/>
        <v>1</v>
      </c>
      <c r="BB50" s="197" t="str">
        <f t="shared" ca="1" si="8"/>
        <v>3nam,6thang,30ngay.</v>
      </c>
    </row>
    <row r="51" spans="1:54" s="197" customFormat="1" ht="18" customHeight="1">
      <c r="A51" s="423">
        <f t="shared" si="2"/>
        <v>48</v>
      </c>
      <c r="B51" s="536" t="s">
        <v>615</v>
      </c>
      <c r="C51" s="611">
        <v>42419</v>
      </c>
      <c r="D51" s="606"/>
      <c r="E51" s="606"/>
      <c r="F51" s="606"/>
      <c r="G51" s="606"/>
      <c r="H51" s="606"/>
      <c r="I51" s="606"/>
      <c r="J51" s="606"/>
      <c r="K51" s="606"/>
      <c r="L51" s="606"/>
      <c r="M51" s="606"/>
      <c r="N51" s="606"/>
      <c r="O51" s="607"/>
      <c r="P51" s="538"/>
      <c r="Q51" s="538">
        <v>1</v>
      </c>
      <c r="R51" s="538"/>
      <c r="S51" s="538"/>
      <c r="T51" s="538">
        <v>1</v>
      </c>
      <c r="U51" s="538">
        <v>1</v>
      </c>
      <c r="V51" s="538"/>
      <c r="W51" s="584">
        <v>1</v>
      </c>
      <c r="X51" s="538">
        <v>1</v>
      </c>
      <c r="Y51" s="538"/>
      <c r="Z51" s="538"/>
      <c r="AA51" s="539">
        <v>1</v>
      </c>
      <c r="AB51" s="687"/>
      <c r="AC51" s="687"/>
      <c r="AD51" s="687">
        <v>1</v>
      </c>
      <c r="AE51" s="687"/>
      <c r="AF51" s="687">
        <v>2</v>
      </c>
      <c r="AG51" s="687"/>
      <c r="AH51" s="687"/>
      <c r="AI51" s="688"/>
      <c r="AJ51" s="687"/>
      <c r="AK51" s="687">
        <v>1</v>
      </c>
      <c r="AL51" s="837">
        <v>1</v>
      </c>
      <c r="AM51" s="851"/>
      <c r="AN51" s="852">
        <v>1</v>
      </c>
      <c r="AO51" s="858"/>
      <c r="AP51" s="858"/>
      <c r="AQ51" s="858">
        <v>1</v>
      </c>
      <c r="AR51" s="858"/>
      <c r="AS51" s="858">
        <v>2</v>
      </c>
      <c r="AT51" s="858"/>
      <c r="AU51" s="858"/>
      <c r="AV51" s="858"/>
      <c r="AW51" s="845">
        <f t="shared" si="9"/>
        <v>3</v>
      </c>
      <c r="AX51" s="537">
        <f t="shared" si="6"/>
        <v>6</v>
      </c>
      <c r="AY51" s="537">
        <f t="shared" si="10"/>
        <v>15</v>
      </c>
      <c r="AZ51" s="537">
        <f>SUM(AH51:AQ51)</f>
        <v>4</v>
      </c>
      <c r="BA51" s="537">
        <f t="shared" si="7"/>
        <v>4</v>
      </c>
      <c r="BB51" s="197" t="str">
        <f t="shared" ca="1" si="8"/>
        <v>3nam,6thang,30ngay.</v>
      </c>
    </row>
    <row r="52" spans="1:54" s="197" customFormat="1" ht="18" customHeight="1">
      <c r="A52" s="423">
        <f t="shared" si="2"/>
        <v>49</v>
      </c>
      <c r="B52" s="536" t="s">
        <v>616</v>
      </c>
      <c r="C52" s="611">
        <v>42419</v>
      </c>
      <c r="D52" s="606"/>
      <c r="E52" s="606"/>
      <c r="F52" s="606"/>
      <c r="G52" s="606"/>
      <c r="H52" s="606"/>
      <c r="I52" s="606"/>
      <c r="J52" s="606"/>
      <c r="K52" s="606"/>
      <c r="L52" s="606"/>
      <c r="M52" s="606"/>
      <c r="N52" s="606"/>
      <c r="O52" s="607"/>
      <c r="P52" s="538"/>
      <c r="Q52" s="538">
        <v>1</v>
      </c>
      <c r="R52" s="538"/>
      <c r="S52" s="538">
        <v>1</v>
      </c>
      <c r="T52" s="538">
        <v>1</v>
      </c>
      <c r="U52" s="538">
        <v>3</v>
      </c>
      <c r="V52" s="538">
        <v>3</v>
      </c>
      <c r="W52" s="584">
        <v>2</v>
      </c>
      <c r="X52" s="538">
        <v>1</v>
      </c>
      <c r="Y52" s="538"/>
      <c r="Z52" s="538">
        <v>1</v>
      </c>
      <c r="AA52" s="539"/>
      <c r="AB52" s="687">
        <v>1</v>
      </c>
      <c r="AC52" s="687">
        <v>1</v>
      </c>
      <c r="AD52" s="687"/>
      <c r="AE52" s="687">
        <v>2</v>
      </c>
      <c r="AF52" s="687">
        <v>1</v>
      </c>
      <c r="AG52" s="687">
        <v>2</v>
      </c>
      <c r="AH52" s="687">
        <v>1</v>
      </c>
      <c r="AI52" s="688"/>
      <c r="AJ52" s="687">
        <v>2</v>
      </c>
      <c r="AK52" s="687">
        <v>1</v>
      </c>
      <c r="AL52" s="837"/>
      <c r="AM52" s="851">
        <v>1</v>
      </c>
      <c r="AN52" s="852"/>
      <c r="AO52" s="858"/>
      <c r="AP52" s="858"/>
      <c r="AQ52" s="858"/>
      <c r="AR52" s="858"/>
      <c r="AS52" s="858"/>
      <c r="AT52" s="858">
        <v>1</v>
      </c>
      <c r="AU52" s="858">
        <v>2</v>
      </c>
      <c r="AV52" s="858"/>
      <c r="AW52" s="845">
        <f t="shared" si="9"/>
        <v>6</v>
      </c>
      <c r="AX52" s="537">
        <f t="shared" si="6"/>
        <v>14</v>
      </c>
      <c r="AY52" s="537">
        <f t="shared" si="10"/>
        <v>25</v>
      </c>
      <c r="AZ52" s="537">
        <f>SUM(AG52:AM52)</f>
        <v>7</v>
      </c>
      <c r="BA52" s="537">
        <f t="shared" si="7"/>
        <v>3</v>
      </c>
      <c r="BB52" s="197" t="str">
        <f t="shared" ca="1" si="8"/>
        <v>3nam,6thang,30ngay.</v>
      </c>
    </row>
    <row r="53" spans="1:54" s="197" customFormat="1" ht="18" customHeight="1">
      <c r="A53" s="423">
        <f t="shared" si="2"/>
        <v>50</v>
      </c>
      <c r="B53" s="536" t="s">
        <v>617</v>
      </c>
      <c r="C53" s="611">
        <v>42420</v>
      </c>
      <c r="D53" s="606"/>
      <c r="E53" s="606"/>
      <c r="F53" s="606"/>
      <c r="G53" s="606"/>
      <c r="H53" s="606"/>
      <c r="I53" s="606"/>
      <c r="J53" s="606"/>
      <c r="K53" s="606"/>
      <c r="L53" s="606"/>
      <c r="M53" s="606"/>
      <c r="N53" s="606"/>
      <c r="O53" s="607"/>
      <c r="P53" s="538"/>
      <c r="Q53" s="538"/>
      <c r="R53" s="538"/>
      <c r="S53" s="538"/>
      <c r="T53" s="538">
        <v>1</v>
      </c>
      <c r="U53" s="538"/>
      <c r="V53" s="538"/>
      <c r="W53" s="584">
        <v>2</v>
      </c>
      <c r="X53" s="538"/>
      <c r="Y53" s="538">
        <v>1</v>
      </c>
      <c r="Z53" s="538"/>
      <c r="AA53" s="539"/>
      <c r="AB53" s="687"/>
      <c r="AC53" s="687"/>
      <c r="AD53" s="687"/>
      <c r="AE53" s="687"/>
      <c r="AF53" s="687">
        <v>1</v>
      </c>
      <c r="AG53" s="687"/>
      <c r="AH53" s="687">
        <v>1</v>
      </c>
      <c r="AI53" s="688"/>
      <c r="AJ53" s="687"/>
      <c r="AK53" s="687">
        <v>1</v>
      </c>
      <c r="AL53" s="837"/>
      <c r="AM53" s="851"/>
      <c r="AN53" s="852"/>
      <c r="AO53" s="858"/>
      <c r="AP53" s="858">
        <v>1</v>
      </c>
      <c r="AQ53" s="858"/>
      <c r="AR53" s="858">
        <v>2</v>
      </c>
      <c r="AS53" s="858">
        <v>2</v>
      </c>
      <c r="AT53" s="858">
        <v>1</v>
      </c>
      <c r="AU53" s="858"/>
      <c r="AV53" s="858"/>
      <c r="AW53" s="845">
        <f t="shared" si="9"/>
        <v>1</v>
      </c>
      <c r="AX53" s="537">
        <f t="shared" si="6"/>
        <v>4</v>
      </c>
      <c r="AY53" s="537">
        <f t="shared" si="10"/>
        <v>13</v>
      </c>
      <c r="AZ53" s="537">
        <f>SUM(AH53:AP53)</f>
        <v>3</v>
      </c>
      <c r="BA53" s="537">
        <f t="shared" si="7"/>
        <v>6</v>
      </c>
      <c r="BB53" s="197" t="str">
        <f t="shared" ca="1" si="8"/>
        <v>3nam,6thang,29ngay.</v>
      </c>
    </row>
    <row r="54" spans="1:54" s="197" customFormat="1" ht="18" customHeight="1">
      <c r="A54" s="423">
        <f t="shared" si="2"/>
        <v>51</v>
      </c>
      <c r="B54" s="536" t="s">
        <v>619</v>
      </c>
      <c r="C54" s="611">
        <v>42422</v>
      </c>
      <c r="D54" s="606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7"/>
      <c r="P54" s="538"/>
      <c r="Q54" s="538">
        <v>1</v>
      </c>
      <c r="R54" s="538">
        <v>1</v>
      </c>
      <c r="S54" s="538"/>
      <c r="T54" s="538">
        <v>2</v>
      </c>
      <c r="U54" s="538">
        <v>1</v>
      </c>
      <c r="V54" s="538">
        <v>1</v>
      </c>
      <c r="W54" s="584">
        <v>3</v>
      </c>
      <c r="X54" s="538">
        <v>1</v>
      </c>
      <c r="Y54" s="538">
        <v>1</v>
      </c>
      <c r="Z54" s="538">
        <v>1</v>
      </c>
      <c r="AA54" s="539">
        <v>1</v>
      </c>
      <c r="AB54" s="687">
        <v>1</v>
      </c>
      <c r="AC54" s="687"/>
      <c r="AD54" s="687">
        <v>1</v>
      </c>
      <c r="AE54" s="687">
        <v>1</v>
      </c>
      <c r="AF54" s="687"/>
      <c r="AG54" s="687">
        <v>1</v>
      </c>
      <c r="AH54" s="687"/>
      <c r="AI54" s="688"/>
      <c r="AJ54" s="687"/>
      <c r="AK54" s="687"/>
      <c r="AL54" s="837"/>
      <c r="AM54" s="851"/>
      <c r="AN54" s="852"/>
      <c r="AO54" s="858">
        <v>1</v>
      </c>
      <c r="AP54" s="858">
        <v>3</v>
      </c>
      <c r="AQ54" s="858">
        <v>4</v>
      </c>
      <c r="AR54" s="858"/>
      <c r="AS54" s="858"/>
      <c r="AT54" s="858"/>
      <c r="AU54" s="858">
        <v>1</v>
      </c>
      <c r="AV54" s="858"/>
      <c r="AW54" s="845">
        <f t="shared" si="9"/>
        <v>5</v>
      </c>
      <c r="AX54" s="537">
        <f t="shared" si="6"/>
        <v>12</v>
      </c>
      <c r="AY54" s="537">
        <f t="shared" si="10"/>
        <v>25</v>
      </c>
      <c r="AZ54" s="537">
        <f>SUM(AH54:AQ54)</f>
        <v>8</v>
      </c>
      <c r="BA54" s="537">
        <f t="shared" si="7"/>
        <v>9</v>
      </c>
      <c r="BB54" s="197" t="str">
        <f t="shared" ca="1" si="8"/>
        <v>3nam,6thang,27ngay.</v>
      </c>
    </row>
    <row r="55" spans="1:54" s="197" customFormat="1" ht="18" customHeight="1">
      <c r="A55" s="423">
        <f t="shared" si="2"/>
        <v>52</v>
      </c>
      <c r="B55" s="536" t="s">
        <v>620</v>
      </c>
      <c r="C55" s="611">
        <v>42422</v>
      </c>
      <c r="D55" s="606"/>
      <c r="E55" s="606"/>
      <c r="F55" s="606"/>
      <c r="G55" s="606"/>
      <c r="H55" s="606"/>
      <c r="I55" s="606"/>
      <c r="J55" s="606"/>
      <c r="K55" s="606"/>
      <c r="L55" s="606"/>
      <c r="M55" s="606"/>
      <c r="N55" s="606"/>
      <c r="O55" s="607"/>
      <c r="P55" s="538"/>
      <c r="Q55" s="538"/>
      <c r="R55" s="538"/>
      <c r="S55" s="538">
        <v>1</v>
      </c>
      <c r="T55" s="538"/>
      <c r="U55" s="538"/>
      <c r="V55" s="538">
        <v>3</v>
      </c>
      <c r="W55" s="584"/>
      <c r="X55" s="538"/>
      <c r="Y55" s="538">
        <v>2</v>
      </c>
      <c r="Z55" s="538">
        <v>1</v>
      </c>
      <c r="AA55" s="539"/>
      <c r="AB55" s="687"/>
      <c r="AC55" s="687"/>
      <c r="AD55" s="687"/>
      <c r="AE55" s="687"/>
      <c r="AF55" s="687"/>
      <c r="AG55" s="687"/>
      <c r="AH55" s="687"/>
      <c r="AI55" s="688"/>
      <c r="AJ55" s="687"/>
      <c r="AK55" s="687"/>
      <c r="AL55" s="837"/>
      <c r="AM55" s="851">
        <v>1</v>
      </c>
      <c r="AN55" s="852"/>
      <c r="AO55" s="858"/>
      <c r="AP55" s="858">
        <v>1</v>
      </c>
      <c r="AQ55" s="858">
        <v>3</v>
      </c>
      <c r="AR55" s="858"/>
      <c r="AS55" s="858">
        <v>2</v>
      </c>
      <c r="AT55" s="858"/>
      <c r="AU55" s="858"/>
      <c r="AV55" s="858"/>
      <c r="AW55" s="845">
        <f t="shared" si="9"/>
        <v>1</v>
      </c>
      <c r="AX55" s="537">
        <f t="shared" si="6"/>
        <v>6</v>
      </c>
      <c r="AY55" s="537">
        <f t="shared" si="10"/>
        <v>11</v>
      </c>
      <c r="AZ55" s="537">
        <f>SUM(AG55:AQ55)</f>
        <v>5</v>
      </c>
      <c r="BA55" s="537">
        <f t="shared" si="7"/>
        <v>6</v>
      </c>
      <c r="BB55" s="197" t="str">
        <f t="shared" ca="1" si="8"/>
        <v>3nam,6thang,27ngay.</v>
      </c>
    </row>
    <row r="56" spans="1:54" s="197" customFormat="1" ht="18" customHeight="1">
      <c r="A56" s="423">
        <f t="shared" si="2"/>
        <v>53</v>
      </c>
      <c r="B56" s="536" t="s">
        <v>622</v>
      </c>
      <c r="C56" s="611">
        <v>42424</v>
      </c>
      <c r="D56" s="606"/>
      <c r="E56" s="606"/>
      <c r="F56" s="606"/>
      <c r="G56" s="606"/>
      <c r="H56" s="606"/>
      <c r="I56" s="606"/>
      <c r="J56" s="606"/>
      <c r="K56" s="606"/>
      <c r="L56" s="606"/>
      <c r="M56" s="606"/>
      <c r="N56" s="606"/>
      <c r="O56" s="607"/>
      <c r="P56" s="538"/>
      <c r="Q56" s="538">
        <v>2</v>
      </c>
      <c r="R56" s="538"/>
      <c r="S56" s="538">
        <v>1</v>
      </c>
      <c r="T56" s="538">
        <v>1</v>
      </c>
      <c r="U56" s="538">
        <v>1</v>
      </c>
      <c r="V56" s="538">
        <v>1</v>
      </c>
      <c r="W56" s="584"/>
      <c r="X56" s="538">
        <v>1</v>
      </c>
      <c r="Y56" s="538">
        <v>1</v>
      </c>
      <c r="Z56" s="538">
        <v>1</v>
      </c>
      <c r="AA56" s="539"/>
      <c r="AB56" s="687">
        <v>1</v>
      </c>
      <c r="AC56" s="687">
        <v>1</v>
      </c>
      <c r="AD56" s="687">
        <v>1</v>
      </c>
      <c r="AE56" s="687"/>
      <c r="AF56" s="687"/>
      <c r="AG56" s="687"/>
      <c r="AH56" s="687"/>
      <c r="AI56" s="688"/>
      <c r="AJ56" s="687"/>
      <c r="AK56" s="687">
        <v>1</v>
      </c>
      <c r="AL56" s="837">
        <v>1</v>
      </c>
      <c r="AM56" s="851"/>
      <c r="AN56" s="852">
        <v>1</v>
      </c>
      <c r="AO56" s="858"/>
      <c r="AP56" s="858">
        <v>2</v>
      </c>
      <c r="AQ56" s="858"/>
      <c r="AR56" s="858">
        <v>1</v>
      </c>
      <c r="AS56" s="858">
        <v>1</v>
      </c>
      <c r="AT56" s="858"/>
      <c r="AU56" s="858">
        <v>2</v>
      </c>
      <c r="AV56" s="858"/>
      <c r="AW56" s="845">
        <f t="shared" si="9"/>
        <v>5</v>
      </c>
      <c r="AX56" s="537">
        <f t="shared" si="6"/>
        <v>7</v>
      </c>
      <c r="AY56" s="537">
        <f t="shared" si="10"/>
        <v>20</v>
      </c>
      <c r="AZ56" s="537">
        <f>SUM(AG56:AP56)</f>
        <v>5</v>
      </c>
      <c r="BA56" s="537">
        <f t="shared" si="7"/>
        <v>7</v>
      </c>
      <c r="BB56" s="197" t="str">
        <f t="shared" ca="1" si="8"/>
        <v>3nam,6thang,25ngay.</v>
      </c>
    </row>
    <row r="57" spans="1:54" s="197" customFormat="1" ht="18" customHeight="1">
      <c r="A57" s="423">
        <f t="shared" si="2"/>
        <v>54</v>
      </c>
      <c r="B57" s="536" t="s">
        <v>625</v>
      </c>
      <c r="C57" s="611">
        <v>42425</v>
      </c>
      <c r="D57" s="606"/>
      <c r="E57" s="606"/>
      <c r="F57" s="606"/>
      <c r="G57" s="606"/>
      <c r="H57" s="606"/>
      <c r="I57" s="606"/>
      <c r="J57" s="606"/>
      <c r="K57" s="606"/>
      <c r="L57" s="606"/>
      <c r="M57" s="606"/>
      <c r="N57" s="606"/>
      <c r="O57" s="607"/>
      <c r="P57" s="538"/>
      <c r="Q57" s="538">
        <v>2</v>
      </c>
      <c r="R57" s="538">
        <v>2</v>
      </c>
      <c r="S57" s="538">
        <v>1</v>
      </c>
      <c r="T57" s="538">
        <v>2</v>
      </c>
      <c r="U57" s="538">
        <v>1</v>
      </c>
      <c r="V57" s="538">
        <v>1</v>
      </c>
      <c r="W57" s="584">
        <v>2</v>
      </c>
      <c r="X57" s="538"/>
      <c r="Y57" s="538">
        <v>2</v>
      </c>
      <c r="Z57" s="538">
        <v>1</v>
      </c>
      <c r="AA57" s="539">
        <v>2</v>
      </c>
      <c r="AB57" s="687"/>
      <c r="AC57" s="687">
        <v>1</v>
      </c>
      <c r="AD57" s="687">
        <v>2</v>
      </c>
      <c r="AE57" s="687">
        <v>2</v>
      </c>
      <c r="AF57" s="687"/>
      <c r="AG57" s="687">
        <v>1</v>
      </c>
      <c r="AH57" s="687">
        <v>2</v>
      </c>
      <c r="AI57" s="688"/>
      <c r="AJ57" s="687">
        <v>5</v>
      </c>
      <c r="AK57" s="687"/>
      <c r="AL57" s="837"/>
      <c r="AM57" s="851"/>
      <c r="AN57" s="852"/>
      <c r="AO57" s="858"/>
      <c r="AP57" s="858"/>
      <c r="AQ57" s="858"/>
      <c r="AR57" s="858"/>
      <c r="AS57" s="858"/>
      <c r="AT57" s="858"/>
      <c r="AU57" s="858"/>
      <c r="AV57" s="858"/>
      <c r="AW57" s="845">
        <f t="shared" si="9"/>
        <v>8</v>
      </c>
      <c r="AX57" s="537">
        <f>SUM(V57:AF57)</f>
        <v>13</v>
      </c>
      <c r="AY57" s="537">
        <f t="shared" si="10"/>
        <v>28</v>
      </c>
      <c r="AZ57" s="537">
        <f>SUM(AG57:AM57)</f>
        <v>8</v>
      </c>
      <c r="BA57" s="537">
        <f t="shared" si="7"/>
        <v>0</v>
      </c>
      <c r="BB57" s="197" t="str">
        <f t="shared" ca="1" si="8"/>
        <v>3nam,6thang,24ngay.</v>
      </c>
    </row>
    <row r="58" spans="1:54" s="197" customFormat="1" ht="18" customHeight="1">
      <c r="A58" s="423">
        <f t="shared" si="2"/>
        <v>55</v>
      </c>
      <c r="B58" s="536" t="s">
        <v>700</v>
      </c>
      <c r="C58" s="611">
        <v>42432</v>
      </c>
      <c r="D58" s="606"/>
      <c r="E58" s="606"/>
      <c r="F58" s="606"/>
      <c r="G58" s="606"/>
      <c r="H58" s="606"/>
      <c r="I58" s="606"/>
      <c r="J58" s="606"/>
      <c r="K58" s="606"/>
      <c r="L58" s="606"/>
      <c r="M58" s="606"/>
      <c r="N58" s="606"/>
      <c r="O58" s="607"/>
      <c r="P58" s="538"/>
      <c r="Q58" s="538"/>
      <c r="R58" s="538">
        <v>3</v>
      </c>
      <c r="S58" s="538"/>
      <c r="T58" s="538">
        <v>1</v>
      </c>
      <c r="U58" s="538"/>
      <c r="V58" s="538">
        <v>2</v>
      </c>
      <c r="W58" s="584">
        <v>2</v>
      </c>
      <c r="X58" s="538"/>
      <c r="Y58" s="538">
        <v>1</v>
      </c>
      <c r="Z58" s="538">
        <v>3</v>
      </c>
      <c r="AA58" s="539"/>
      <c r="AB58" s="687">
        <v>1</v>
      </c>
      <c r="AC58" s="687"/>
      <c r="AD58" s="687">
        <v>1</v>
      </c>
      <c r="AE58" s="687">
        <v>2</v>
      </c>
      <c r="AF58" s="687"/>
      <c r="AG58" s="687">
        <v>4</v>
      </c>
      <c r="AH58" s="687">
        <v>2</v>
      </c>
      <c r="AI58" s="688">
        <v>1</v>
      </c>
      <c r="AJ58" s="687"/>
      <c r="AK58" s="687">
        <v>1</v>
      </c>
      <c r="AL58" s="837"/>
      <c r="AM58" s="851">
        <v>1</v>
      </c>
      <c r="AN58" s="852"/>
      <c r="AO58" s="858"/>
      <c r="AP58" s="858"/>
      <c r="AQ58" s="858">
        <v>3</v>
      </c>
      <c r="AR58" s="858"/>
      <c r="AS58" s="858"/>
      <c r="AT58" s="858">
        <v>4</v>
      </c>
      <c r="AU58" s="858">
        <v>1</v>
      </c>
      <c r="AV58" s="858"/>
      <c r="AW58" s="845">
        <f t="shared" si="9"/>
        <v>4</v>
      </c>
      <c r="AX58" s="537">
        <f>SUM(V58:AF58)</f>
        <v>12</v>
      </c>
      <c r="AY58" s="537">
        <f t="shared" si="10"/>
        <v>31</v>
      </c>
      <c r="AZ58" s="537">
        <f>SUM(AG58:AQ58)</f>
        <v>12</v>
      </c>
      <c r="BA58" s="537">
        <f t="shared" si="7"/>
        <v>8</v>
      </c>
      <c r="BB58" s="197" t="str">
        <f t="shared" ca="1" si="8"/>
        <v>3nam,6thang,15ngay.</v>
      </c>
    </row>
    <row r="59" spans="1:54" s="197" customFormat="1" ht="18" customHeight="1">
      <c r="A59" s="423">
        <f t="shared" si="2"/>
        <v>56</v>
      </c>
      <c r="B59" s="536" t="s">
        <v>701</v>
      </c>
      <c r="C59" s="611">
        <v>42432</v>
      </c>
      <c r="D59" s="606"/>
      <c r="E59" s="606"/>
      <c r="F59" s="606"/>
      <c r="G59" s="606"/>
      <c r="H59" s="606"/>
      <c r="I59" s="606"/>
      <c r="J59" s="606"/>
      <c r="K59" s="606"/>
      <c r="L59" s="606"/>
      <c r="M59" s="606"/>
      <c r="N59" s="606"/>
      <c r="O59" s="607"/>
      <c r="P59" s="538"/>
      <c r="Q59" s="538"/>
      <c r="R59" s="538">
        <v>1</v>
      </c>
      <c r="S59" s="538">
        <v>1</v>
      </c>
      <c r="T59" s="538">
        <v>1</v>
      </c>
      <c r="U59" s="538">
        <v>1</v>
      </c>
      <c r="V59" s="538">
        <v>3</v>
      </c>
      <c r="W59" s="584">
        <v>2</v>
      </c>
      <c r="X59" s="538">
        <v>1</v>
      </c>
      <c r="Y59" s="538">
        <v>1</v>
      </c>
      <c r="Z59" s="538">
        <v>1</v>
      </c>
      <c r="AA59" s="539">
        <v>1</v>
      </c>
      <c r="AB59" s="687"/>
      <c r="AC59" s="687"/>
      <c r="AD59" s="687">
        <v>1</v>
      </c>
      <c r="AE59" s="687">
        <v>1</v>
      </c>
      <c r="AF59" s="687"/>
      <c r="AG59" s="687">
        <v>1</v>
      </c>
      <c r="AH59" s="687">
        <v>1</v>
      </c>
      <c r="AI59" s="688">
        <v>2</v>
      </c>
      <c r="AJ59" s="687"/>
      <c r="AK59" s="687">
        <v>1</v>
      </c>
      <c r="AL59" s="837"/>
      <c r="AM59" s="851"/>
      <c r="AN59" s="852"/>
      <c r="AO59" s="858">
        <v>1</v>
      </c>
      <c r="AP59" s="858"/>
      <c r="AQ59" s="858"/>
      <c r="AR59" s="858"/>
      <c r="AS59" s="858"/>
      <c r="AT59" s="858">
        <v>4</v>
      </c>
      <c r="AU59" s="858">
        <v>1</v>
      </c>
      <c r="AV59" s="858"/>
      <c r="AW59" s="845">
        <f t="shared" si="9"/>
        <v>4</v>
      </c>
      <c r="AX59" s="537">
        <f>SUM(V59:AG59)</f>
        <v>12</v>
      </c>
      <c r="AY59" s="537">
        <f t="shared" si="10"/>
        <v>23</v>
      </c>
      <c r="AZ59" s="537">
        <f>SUM(AH59:AO59)</f>
        <v>5</v>
      </c>
      <c r="BA59" s="537">
        <f t="shared" si="7"/>
        <v>6</v>
      </c>
      <c r="BB59" s="197" t="str">
        <f t="shared" ca="1" si="8"/>
        <v>3nam,6thang,15ngay.</v>
      </c>
    </row>
    <row r="60" spans="1:54" s="197" customFormat="1" ht="18" customHeight="1">
      <c r="A60" s="423">
        <f t="shared" si="2"/>
        <v>57</v>
      </c>
      <c r="B60" s="536" t="s">
        <v>729</v>
      </c>
      <c r="C60" s="612" t="s">
        <v>730</v>
      </c>
      <c r="D60" s="613"/>
      <c r="E60" s="613"/>
      <c r="F60" s="613"/>
      <c r="G60" s="613"/>
      <c r="H60" s="613"/>
      <c r="I60" s="613"/>
      <c r="J60" s="613"/>
      <c r="K60" s="613"/>
      <c r="L60" s="613"/>
      <c r="M60" s="613"/>
      <c r="N60" s="613"/>
      <c r="O60" s="614"/>
      <c r="P60" s="574"/>
      <c r="Q60" s="574"/>
      <c r="R60" s="574"/>
      <c r="S60" s="574"/>
      <c r="T60" s="574"/>
      <c r="U60" s="574">
        <v>1</v>
      </c>
      <c r="V60" s="574">
        <v>3</v>
      </c>
      <c r="W60" s="586">
        <v>3</v>
      </c>
      <c r="X60" s="574"/>
      <c r="Y60" s="574"/>
      <c r="Z60" s="574"/>
      <c r="AA60" s="575"/>
      <c r="AB60" s="691"/>
      <c r="AC60" s="691"/>
      <c r="AD60" s="691"/>
      <c r="AE60" s="691"/>
      <c r="AF60" s="691"/>
      <c r="AG60" s="691"/>
      <c r="AH60" s="691"/>
      <c r="AI60" s="692">
        <v>1</v>
      </c>
      <c r="AJ60" s="691"/>
      <c r="AK60" s="691">
        <v>1</v>
      </c>
      <c r="AL60" s="839">
        <v>1</v>
      </c>
      <c r="AM60" s="851"/>
      <c r="AN60" s="852">
        <v>1</v>
      </c>
      <c r="AO60" s="858"/>
      <c r="AP60" s="858"/>
      <c r="AQ60" s="858"/>
      <c r="AR60" s="858"/>
      <c r="AS60" s="858">
        <v>3</v>
      </c>
      <c r="AT60" s="858"/>
      <c r="AU60" s="858"/>
      <c r="AV60" s="858"/>
      <c r="AW60" s="845">
        <f t="shared" si="9"/>
        <v>1</v>
      </c>
      <c r="AX60" s="537">
        <f>SUM(V60:AG60)</f>
        <v>6</v>
      </c>
      <c r="AY60" s="537">
        <f t="shared" si="10"/>
        <v>11</v>
      </c>
      <c r="AZ60" s="537">
        <f>SUM(AH60:AN60)</f>
        <v>4</v>
      </c>
      <c r="BA60" s="537">
        <f t="shared" si="7"/>
        <v>4</v>
      </c>
      <c r="BB60" s="197" t="str">
        <f t="shared" ca="1" si="8"/>
        <v>3nam,3thang,17ngay.</v>
      </c>
    </row>
    <row r="61" spans="1:54" s="197" customFormat="1" ht="18" customHeight="1">
      <c r="A61" s="423">
        <f t="shared" si="2"/>
        <v>58</v>
      </c>
      <c r="B61" s="536" t="s">
        <v>708</v>
      </c>
      <c r="C61" s="612">
        <v>42487</v>
      </c>
      <c r="D61" s="613"/>
      <c r="E61" s="613"/>
      <c r="F61" s="613"/>
      <c r="G61" s="613"/>
      <c r="H61" s="613"/>
      <c r="I61" s="613"/>
      <c r="J61" s="613"/>
      <c r="K61" s="613"/>
      <c r="L61" s="613"/>
      <c r="M61" s="613"/>
      <c r="N61" s="613"/>
      <c r="O61" s="614"/>
      <c r="P61" s="574"/>
      <c r="Q61" s="574"/>
      <c r="R61" s="574"/>
      <c r="S61" s="574"/>
      <c r="T61" s="574"/>
      <c r="U61" s="574"/>
      <c r="V61" s="574">
        <v>2</v>
      </c>
      <c r="W61" s="586">
        <v>2</v>
      </c>
      <c r="X61" s="574">
        <v>3</v>
      </c>
      <c r="Y61" s="574"/>
      <c r="Z61" s="574">
        <v>1</v>
      </c>
      <c r="AA61" s="575"/>
      <c r="AB61" s="691">
        <v>1</v>
      </c>
      <c r="AC61" s="691"/>
      <c r="AD61" s="691"/>
      <c r="AE61" s="691">
        <v>1</v>
      </c>
      <c r="AF61" s="691">
        <v>1</v>
      </c>
      <c r="AG61" s="691"/>
      <c r="AH61" s="691"/>
      <c r="AI61" s="692"/>
      <c r="AJ61" s="691"/>
      <c r="AK61" s="691"/>
      <c r="AL61" s="839"/>
      <c r="AM61" s="851"/>
      <c r="AN61" s="852"/>
      <c r="AO61" s="858"/>
      <c r="AP61" s="858"/>
      <c r="AQ61" s="858"/>
      <c r="AR61" s="858"/>
      <c r="AS61" s="858"/>
      <c r="AT61" s="858"/>
      <c r="AU61" s="858"/>
      <c r="AV61" s="858"/>
      <c r="AW61" s="845">
        <f t="shared" si="9"/>
        <v>0</v>
      </c>
      <c r="AX61" s="537">
        <f>SUM(V61:AG61)</f>
        <v>11</v>
      </c>
      <c r="AY61" s="537">
        <f t="shared" si="10"/>
        <v>9</v>
      </c>
      <c r="AZ61" s="537">
        <f>SUM(AH61:AM61)</f>
        <v>0</v>
      </c>
      <c r="BA61" s="537">
        <f t="shared" si="7"/>
        <v>0</v>
      </c>
      <c r="BB61" s="197" t="str">
        <f t="shared" ca="1" si="8"/>
        <v>3nam,4thang,22ngay.</v>
      </c>
    </row>
    <row r="62" spans="1:54" s="197" customFormat="1" ht="18" customHeight="1">
      <c r="A62" s="423">
        <f t="shared" si="2"/>
        <v>59</v>
      </c>
      <c r="B62" s="536" t="s">
        <v>715</v>
      </c>
      <c r="C62" s="612" t="s">
        <v>730</v>
      </c>
      <c r="D62" s="613"/>
      <c r="E62" s="613"/>
      <c r="F62" s="613"/>
      <c r="G62" s="613"/>
      <c r="H62" s="613"/>
      <c r="I62" s="613"/>
      <c r="J62" s="613"/>
      <c r="K62" s="613"/>
      <c r="L62" s="613"/>
      <c r="M62" s="613"/>
      <c r="N62" s="613"/>
      <c r="O62" s="614"/>
      <c r="P62" s="574"/>
      <c r="Q62" s="574"/>
      <c r="R62" s="574"/>
      <c r="S62" s="574"/>
      <c r="T62" s="574"/>
      <c r="U62" s="574">
        <v>3</v>
      </c>
      <c r="V62" s="574">
        <v>2</v>
      </c>
      <c r="W62" s="586">
        <v>3</v>
      </c>
      <c r="X62" s="574">
        <v>2</v>
      </c>
      <c r="Y62" s="574"/>
      <c r="Z62" s="574"/>
      <c r="AA62" s="575">
        <v>1</v>
      </c>
      <c r="AB62" s="691"/>
      <c r="AC62" s="691"/>
      <c r="AD62" s="691">
        <v>1</v>
      </c>
      <c r="AE62" s="691"/>
      <c r="AF62" s="691">
        <v>3</v>
      </c>
      <c r="AG62" s="691">
        <v>1</v>
      </c>
      <c r="AH62" s="691">
        <v>1</v>
      </c>
      <c r="AI62" s="692">
        <v>6</v>
      </c>
      <c r="AJ62" s="691"/>
      <c r="AK62" s="691">
        <v>1</v>
      </c>
      <c r="AL62" s="839">
        <v>1</v>
      </c>
      <c r="AM62" s="851">
        <v>1</v>
      </c>
      <c r="AN62" s="852">
        <v>1</v>
      </c>
      <c r="AO62" s="858">
        <v>3</v>
      </c>
      <c r="AP62" s="858">
        <v>3</v>
      </c>
      <c r="AQ62" s="858">
        <v>2</v>
      </c>
      <c r="AR62" s="858"/>
      <c r="AS62" s="858"/>
      <c r="AT62" s="858"/>
      <c r="AU62" s="858">
        <v>1</v>
      </c>
      <c r="AV62" s="858"/>
      <c r="AW62" s="845">
        <f t="shared" si="9"/>
        <v>3</v>
      </c>
      <c r="AX62" s="537">
        <f>SUM(V62:AF62)</f>
        <v>12</v>
      </c>
      <c r="AY62" s="537">
        <f t="shared" si="10"/>
        <v>34</v>
      </c>
      <c r="AZ62" s="537">
        <f>SUM(AG62:AM62)</f>
        <v>11</v>
      </c>
      <c r="BA62" s="537">
        <f t="shared" si="7"/>
        <v>10</v>
      </c>
      <c r="BB62" s="197" t="str">
        <f t="shared" ca="1" si="8"/>
        <v>3nam,3thang,17ngay.</v>
      </c>
    </row>
    <row r="63" spans="1:54" s="197" customFormat="1" ht="18" customHeight="1">
      <c r="A63" s="423">
        <f t="shared" si="2"/>
        <v>60</v>
      </c>
      <c r="B63" s="536" t="s">
        <v>720</v>
      </c>
      <c r="C63" s="612" t="s">
        <v>730</v>
      </c>
      <c r="D63" s="613"/>
      <c r="E63" s="613"/>
      <c r="F63" s="613"/>
      <c r="G63" s="613"/>
      <c r="H63" s="613"/>
      <c r="I63" s="613"/>
      <c r="J63" s="613"/>
      <c r="K63" s="613"/>
      <c r="L63" s="613"/>
      <c r="M63" s="613"/>
      <c r="N63" s="613"/>
      <c r="O63" s="614"/>
      <c r="P63" s="574"/>
      <c r="Q63" s="574"/>
      <c r="R63" s="574"/>
      <c r="S63" s="574"/>
      <c r="T63" s="574"/>
      <c r="U63" s="574">
        <v>2</v>
      </c>
      <c r="V63" s="574"/>
      <c r="W63" s="586"/>
      <c r="X63" s="574">
        <v>1</v>
      </c>
      <c r="Y63" s="574"/>
      <c r="Z63" s="574">
        <v>1</v>
      </c>
      <c r="AA63" s="575"/>
      <c r="AB63" s="691"/>
      <c r="AC63" s="691"/>
      <c r="AD63" s="691">
        <v>3</v>
      </c>
      <c r="AE63" s="691"/>
      <c r="AF63" s="691">
        <v>1</v>
      </c>
      <c r="AG63" s="691">
        <v>2</v>
      </c>
      <c r="AH63" s="691"/>
      <c r="AI63" s="692">
        <v>1</v>
      </c>
      <c r="AJ63" s="691"/>
      <c r="AK63" s="691">
        <v>1</v>
      </c>
      <c r="AL63" s="839"/>
      <c r="AM63" s="851">
        <v>2</v>
      </c>
      <c r="AN63" s="852"/>
      <c r="AO63" s="858"/>
      <c r="AP63" s="858"/>
      <c r="AQ63" s="858"/>
      <c r="AR63" s="858">
        <v>1</v>
      </c>
      <c r="AS63" s="858">
        <v>1</v>
      </c>
      <c r="AT63" s="858">
        <v>1</v>
      </c>
      <c r="AU63" s="858"/>
      <c r="AV63" s="858"/>
      <c r="AW63" s="845">
        <f t="shared" si="9"/>
        <v>2</v>
      </c>
      <c r="AX63" s="537">
        <f>SUM(V63:AG63)</f>
        <v>8</v>
      </c>
      <c r="AY63" s="537">
        <f t="shared" si="10"/>
        <v>17</v>
      </c>
      <c r="AZ63" s="537">
        <f>SUM(AH63:AP63)</f>
        <v>4</v>
      </c>
      <c r="BA63" s="537">
        <f t="shared" si="7"/>
        <v>3</v>
      </c>
      <c r="BB63" s="197" t="str">
        <f t="shared" ca="1" si="8"/>
        <v>3nam,3thang,17ngay.</v>
      </c>
    </row>
    <row r="64" spans="1:54" s="741" customFormat="1" ht="18" customHeight="1">
      <c r="A64" s="729">
        <f t="shared" si="2"/>
        <v>61</v>
      </c>
      <c r="B64" s="736" t="s">
        <v>716</v>
      </c>
      <c r="C64" s="737" t="s">
        <v>731</v>
      </c>
      <c r="D64" s="738"/>
      <c r="E64" s="738"/>
      <c r="F64" s="738"/>
      <c r="G64" s="738"/>
      <c r="H64" s="738"/>
      <c r="I64" s="738"/>
      <c r="J64" s="738"/>
      <c r="K64" s="738"/>
      <c r="L64" s="738"/>
      <c r="M64" s="738"/>
      <c r="N64" s="738"/>
      <c r="O64" s="739"/>
      <c r="P64" s="738"/>
      <c r="Q64" s="738"/>
      <c r="R64" s="738"/>
      <c r="S64" s="738"/>
      <c r="T64" s="738"/>
      <c r="U64" s="738">
        <v>3</v>
      </c>
      <c r="V64" s="738">
        <v>2</v>
      </c>
      <c r="W64" s="740">
        <v>3</v>
      </c>
      <c r="X64" s="738">
        <v>2</v>
      </c>
      <c r="Y64" s="738">
        <v>1</v>
      </c>
      <c r="Z64" s="738">
        <v>2</v>
      </c>
      <c r="AA64" s="739">
        <v>1</v>
      </c>
      <c r="AB64" s="738"/>
      <c r="AC64" s="738"/>
      <c r="AD64" s="738"/>
      <c r="AE64" s="738"/>
      <c r="AF64" s="738"/>
      <c r="AG64" s="738"/>
      <c r="AH64" s="738"/>
      <c r="AI64" s="740"/>
      <c r="AJ64" s="738"/>
      <c r="AK64" s="738"/>
      <c r="AL64" s="840"/>
      <c r="AM64" s="855"/>
      <c r="AN64" s="852"/>
      <c r="AO64" s="858"/>
      <c r="AP64" s="858"/>
      <c r="AQ64" s="858"/>
      <c r="AR64" s="858"/>
      <c r="AS64" s="858"/>
      <c r="AT64" s="858"/>
      <c r="AU64" s="858"/>
      <c r="AV64" s="858"/>
      <c r="AW64" s="847">
        <f t="shared" si="9"/>
        <v>3</v>
      </c>
      <c r="AX64" s="733">
        <f>SUM(V64:AG64)</f>
        <v>11</v>
      </c>
      <c r="AY64" s="733">
        <f t="shared" si="10"/>
        <v>12</v>
      </c>
      <c r="AZ64" s="733"/>
      <c r="BA64" s="537">
        <f t="shared" si="7"/>
        <v>0</v>
      </c>
      <c r="BB64" s="741" t="str">
        <f t="shared" ca="1" si="8"/>
        <v>3nam,3thang,11ngay.</v>
      </c>
    </row>
    <row r="65" spans="1:54" s="197" customFormat="1" ht="18" customHeight="1">
      <c r="A65" s="423">
        <f t="shared" si="2"/>
        <v>62</v>
      </c>
      <c r="B65" s="536" t="s">
        <v>717</v>
      </c>
      <c r="C65" s="612" t="s">
        <v>731</v>
      </c>
      <c r="D65" s="613"/>
      <c r="E65" s="613"/>
      <c r="F65" s="613"/>
      <c r="G65" s="613"/>
      <c r="H65" s="613"/>
      <c r="I65" s="613"/>
      <c r="J65" s="613"/>
      <c r="K65" s="613"/>
      <c r="L65" s="613"/>
      <c r="M65" s="613"/>
      <c r="N65" s="613"/>
      <c r="O65" s="614"/>
      <c r="P65" s="574"/>
      <c r="Q65" s="574"/>
      <c r="R65" s="574"/>
      <c r="S65" s="574"/>
      <c r="T65" s="574"/>
      <c r="U65" s="574">
        <v>2</v>
      </c>
      <c r="V65" s="574">
        <v>2</v>
      </c>
      <c r="W65" s="586">
        <v>1</v>
      </c>
      <c r="X65" s="574">
        <v>3</v>
      </c>
      <c r="Y65" s="574">
        <v>1</v>
      </c>
      <c r="Z65" s="574">
        <v>1</v>
      </c>
      <c r="AA65" s="575">
        <v>1</v>
      </c>
      <c r="AB65" s="691">
        <v>1</v>
      </c>
      <c r="AC65" s="691">
        <v>1</v>
      </c>
      <c r="AD65" s="691">
        <v>1</v>
      </c>
      <c r="AE65" s="691">
        <v>1</v>
      </c>
      <c r="AF65" s="691">
        <v>1</v>
      </c>
      <c r="AG65" s="691">
        <v>6</v>
      </c>
      <c r="AH65" s="691">
        <v>1</v>
      </c>
      <c r="AI65" s="692">
        <v>2</v>
      </c>
      <c r="AJ65" s="691"/>
      <c r="AK65" s="691">
        <v>1</v>
      </c>
      <c r="AL65" s="839"/>
      <c r="AM65" s="851"/>
      <c r="AN65" s="852"/>
      <c r="AO65" s="858"/>
      <c r="AP65" s="858"/>
      <c r="AQ65" s="858"/>
      <c r="AR65" s="858">
        <v>2</v>
      </c>
      <c r="AS65" s="858">
        <v>1</v>
      </c>
      <c r="AT65" s="858"/>
      <c r="AU65" s="858"/>
      <c r="AV65" s="858"/>
      <c r="AW65" s="845">
        <f t="shared" si="9"/>
        <v>2</v>
      </c>
      <c r="AX65" s="537">
        <f>SUM(V65:AD65)</f>
        <v>12</v>
      </c>
      <c r="AY65" s="537">
        <f t="shared" si="10"/>
        <v>27</v>
      </c>
      <c r="AZ65" s="537">
        <f>SUM(AE65:AM65)</f>
        <v>12</v>
      </c>
      <c r="BA65" s="537">
        <f t="shared" si="7"/>
        <v>3</v>
      </c>
      <c r="BB65" s="197" t="str">
        <f t="shared" ca="1" si="8"/>
        <v>3nam,3thang,11ngay.</v>
      </c>
    </row>
    <row r="66" spans="1:54" s="197" customFormat="1" ht="18" customHeight="1">
      <c r="A66" s="423">
        <f t="shared" si="2"/>
        <v>63</v>
      </c>
      <c r="B66" s="536" t="s">
        <v>718</v>
      </c>
      <c r="C66" s="612" t="s">
        <v>732</v>
      </c>
      <c r="D66" s="613"/>
      <c r="E66" s="613"/>
      <c r="F66" s="613"/>
      <c r="G66" s="613"/>
      <c r="H66" s="613"/>
      <c r="I66" s="613"/>
      <c r="J66" s="613"/>
      <c r="K66" s="613"/>
      <c r="L66" s="613"/>
      <c r="M66" s="613"/>
      <c r="N66" s="613"/>
      <c r="O66" s="614"/>
      <c r="P66" s="574"/>
      <c r="Q66" s="574"/>
      <c r="R66" s="574"/>
      <c r="S66" s="574"/>
      <c r="T66" s="574"/>
      <c r="U66" s="574"/>
      <c r="V66" s="574">
        <v>1</v>
      </c>
      <c r="W66" s="586"/>
      <c r="X66" s="574"/>
      <c r="Y66" s="574">
        <v>1</v>
      </c>
      <c r="Z66" s="574">
        <v>1</v>
      </c>
      <c r="AA66" s="575"/>
      <c r="AB66" s="691"/>
      <c r="AC66" s="691"/>
      <c r="AD66" s="691">
        <v>1</v>
      </c>
      <c r="AE66" s="691"/>
      <c r="AF66" s="691"/>
      <c r="AG66" s="691"/>
      <c r="AH66" s="691"/>
      <c r="AI66" s="692">
        <v>1</v>
      </c>
      <c r="AJ66" s="691">
        <v>1</v>
      </c>
      <c r="AK66" s="691"/>
      <c r="AL66" s="839"/>
      <c r="AM66" s="851">
        <v>1</v>
      </c>
      <c r="AN66" s="852"/>
      <c r="AO66" s="858"/>
      <c r="AP66" s="858"/>
      <c r="AQ66" s="858">
        <v>2</v>
      </c>
      <c r="AR66" s="858"/>
      <c r="AS66" s="858">
        <v>1</v>
      </c>
      <c r="AT66" s="858"/>
      <c r="AU66" s="858">
        <v>1</v>
      </c>
      <c r="AV66" s="858"/>
      <c r="AW66" s="845">
        <f t="shared" si="9"/>
        <v>0</v>
      </c>
      <c r="AX66" s="537">
        <f>SUM(V66:AG66)</f>
        <v>4</v>
      </c>
      <c r="AY66" s="537">
        <f t="shared" si="10"/>
        <v>10</v>
      </c>
      <c r="AZ66" s="537">
        <f>SUM(AH66:AR66)</f>
        <v>5</v>
      </c>
      <c r="BA66" s="537">
        <f t="shared" si="7"/>
        <v>4</v>
      </c>
      <c r="BB66" s="197" t="str">
        <f t="shared" ca="1" si="8"/>
        <v>3nam,3thang,10ngay.</v>
      </c>
    </row>
    <row r="67" spans="1:54" s="197" customFormat="1" ht="18" customHeight="1">
      <c r="A67" s="423">
        <f t="shared" si="2"/>
        <v>64</v>
      </c>
      <c r="B67" s="536" t="s">
        <v>702</v>
      </c>
      <c r="C67" s="611">
        <v>42443</v>
      </c>
      <c r="D67" s="615"/>
      <c r="E67" s="615"/>
      <c r="F67" s="615"/>
      <c r="G67" s="615"/>
      <c r="H67" s="615"/>
      <c r="I67" s="615"/>
      <c r="J67" s="615"/>
      <c r="K67" s="615"/>
      <c r="L67" s="615"/>
      <c r="M67" s="615"/>
      <c r="N67" s="615"/>
      <c r="O67" s="616"/>
      <c r="P67" s="549"/>
      <c r="Q67" s="549"/>
      <c r="R67" s="549">
        <v>1</v>
      </c>
      <c r="S67" s="549"/>
      <c r="T67" s="549">
        <v>2</v>
      </c>
      <c r="U67" s="549">
        <v>2</v>
      </c>
      <c r="V67" s="549">
        <v>3</v>
      </c>
      <c r="W67" s="587">
        <v>2</v>
      </c>
      <c r="X67" s="549">
        <v>1</v>
      </c>
      <c r="Y67" s="549">
        <v>2</v>
      </c>
      <c r="Z67" s="549">
        <v>1</v>
      </c>
      <c r="AA67" s="550"/>
      <c r="AB67" s="693">
        <v>2</v>
      </c>
      <c r="AC67" s="693"/>
      <c r="AD67" s="693"/>
      <c r="AE67" s="693"/>
      <c r="AF67" s="693"/>
      <c r="AG67" s="693">
        <v>2</v>
      </c>
      <c r="AH67" s="693"/>
      <c r="AI67" s="694">
        <v>1</v>
      </c>
      <c r="AJ67" s="693">
        <v>3</v>
      </c>
      <c r="AK67" s="693">
        <v>2</v>
      </c>
      <c r="AL67" s="841"/>
      <c r="AM67" s="851">
        <v>4</v>
      </c>
      <c r="AN67" s="852"/>
      <c r="AO67" s="858"/>
      <c r="AP67" s="858"/>
      <c r="AQ67" s="858"/>
      <c r="AR67" s="858"/>
      <c r="AS67" s="858"/>
      <c r="AT67" s="858"/>
      <c r="AU67" s="858"/>
      <c r="AV67" s="858"/>
      <c r="AW67" s="845">
        <f t="shared" si="9"/>
        <v>5</v>
      </c>
      <c r="AX67" s="537">
        <f>SUM(V67:AG67)</f>
        <v>13</v>
      </c>
      <c r="AY67" s="537">
        <f t="shared" si="10"/>
        <v>25</v>
      </c>
      <c r="AZ67" s="537">
        <f>SUM(AH67:AM67)</f>
        <v>10</v>
      </c>
      <c r="BA67" s="537">
        <f t="shared" si="7"/>
        <v>0</v>
      </c>
      <c r="BB67" s="197" t="str">
        <f t="shared" ca="1" si="8"/>
        <v>3nam,6thang,4ngay.</v>
      </c>
    </row>
    <row r="68" spans="1:54" ht="18" customHeight="1">
      <c r="A68" s="423">
        <f t="shared" si="2"/>
        <v>65</v>
      </c>
      <c r="B68" s="912" t="s">
        <v>743</v>
      </c>
      <c r="C68" s="617">
        <v>42731</v>
      </c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9"/>
      <c r="P68" s="428"/>
      <c r="Q68" s="428"/>
      <c r="R68" s="428"/>
      <c r="S68" s="428"/>
      <c r="T68" s="428"/>
      <c r="U68" s="428"/>
      <c r="V68" s="428"/>
      <c r="W68" s="588"/>
      <c r="X68" s="428"/>
      <c r="Y68" s="428"/>
      <c r="Z68" s="428"/>
      <c r="AA68" s="429"/>
      <c r="AB68" s="695"/>
      <c r="AC68" s="695"/>
      <c r="AD68" s="695"/>
      <c r="AE68" s="695"/>
      <c r="AF68" s="695">
        <v>1</v>
      </c>
      <c r="AG68" s="695"/>
      <c r="AH68" s="695"/>
      <c r="AI68" s="696"/>
      <c r="AJ68" s="695"/>
      <c r="AK68" s="695">
        <v>1</v>
      </c>
      <c r="AL68" s="842">
        <v>1</v>
      </c>
      <c r="AM68" s="856">
        <v>1</v>
      </c>
      <c r="AN68" s="857">
        <v>2</v>
      </c>
      <c r="AO68" s="835">
        <v>2</v>
      </c>
      <c r="AP68" s="835"/>
      <c r="AQ68" s="835">
        <v>1</v>
      </c>
      <c r="AR68" s="835"/>
      <c r="AS68" s="835">
        <v>1</v>
      </c>
      <c r="AT68" s="835"/>
      <c r="AU68" s="835">
        <v>1</v>
      </c>
      <c r="AV68" s="835"/>
      <c r="AW68" s="845">
        <f t="shared" si="9"/>
        <v>0</v>
      </c>
      <c r="AX68" s="537">
        <f>SUM(AB68:AG68)</f>
        <v>1</v>
      </c>
      <c r="AY68" s="537">
        <f t="shared" si="10"/>
        <v>11</v>
      </c>
      <c r="AZ68" s="537">
        <f>SUM(AG68:AR68)</f>
        <v>8</v>
      </c>
      <c r="BA68" s="537">
        <f t="shared" si="7"/>
        <v>7</v>
      </c>
      <c r="BB68" s="682" t="str">
        <f t="shared" ref="BB68:BB97" ca="1" si="12">DATEDIF(C68,$BC$1,"Y")&amp;"nam,"&amp;DATEDIF(C68,$BC$1,"YM")&amp;"thang,"&amp;DATEDIF(C68,$BC$1,"MD")&amp;"ngay."</f>
        <v>2nam,8thang,22ngay.</v>
      </c>
    </row>
    <row r="69" spans="1:54" ht="18" customHeight="1">
      <c r="A69" s="423">
        <f t="shared" ref="A69:A107" si="13">A68+1</f>
        <v>66</v>
      </c>
      <c r="B69" s="632" t="s">
        <v>744</v>
      </c>
      <c r="C69" s="620">
        <v>42732</v>
      </c>
      <c r="D69" s="621"/>
      <c r="E69" s="621"/>
      <c r="F69" s="621"/>
      <c r="G69" s="621"/>
      <c r="H69" s="621"/>
      <c r="I69" s="621"/>
      <c r="J69" s="621"/>
      <c r="K69" s="621"/>
      <c r="L69" s="621"/>
      <c r="M69" s="621"/>
      <c r="N69" s="621"/>
      <c r="O69" s="622"/>
      <c r="P69" s="527"/>
      <c r="Q69" s="527"/>
      <c r="R69" s="527"/>
      <c r="S69" s="527"/>
      <c r="T69" s="527"/>
      <c r="U69" s="527"/>
      <c r="V69" s="527"/>
      <c r="W69" s="589"/>
      <c r="X69" s="527"/>
      <c r="Y69" s="527"/>
      <c r="Z69" s="527"/>
      <c r="AA69" s="528"/>
      <c r="AB69" s="697"/>
      <c r="AC69" s="697"/>
      <c r="AD69" s="697"/>
      <c r="AE69" s="697"/>
      <c r="AF69" s="697">
        <v>1</v>
      </c>
      <c r="AG69" s="697">
        <v>1</v>
      </c>
      <c r="AH69" s="697"/>
      <c r="AI69" s="698">
        <v>2</v>
      </c>
      <c r="AJ69" s="697">
        <v>1</v>
      </c>
      <c r="AK69" s="697">
        <v>2</v>
      </c>
      <c r="AL69" s="843"/>
      <c r="AM69" s="856"/>
      <c r="AN69" s="857"/>
      <c r="AO69" s="835"/>
      <c r="AP69" s="835"/>
      <c r="AQ69" s="835"/>
      <c r="AR69" s="835"/>
      <c r="AS69" s="835">
        <v>1</v>
      </c>
      <c r="AT69" s="835"/>
      <c r="AU69" s="835"/>
      <c r="AV69" s="835"/>
      <c r="AW69" s="845">
        <f t="shared" si="9"/>
        <v>0</v>
      </c>
      <c r="AX69" s="537">
        <f>SUM(AB69:AG69)</f>
        <v>2</v>
      </c>
      <c r="AY69" s="537">
        <f t="shared" si="10"/>
        <v>8</v>
      </c>
      <c r="AZ69" s="537">
        <f>SUM(AH69:AM69)</f>
        <v>5</v>
      </c>
      <c r="BA69" s="537">
        <f t="shared" ref="BA69:BA109" si="14">SUM(AN69:AU69)</f>
        <v>1</v>
      </c>
      <c r="BB69" s="682" t="str">
        <f t="shared" ca="1" si="12"/>
        <v>2nam,8thang,21ngay.</v>
      </c>
    </row>
    <row r="70" spans="1:54">
      <c r="A70" s="423">
        <f t="shared" si="13"/>
        <v>67</v>
      </c>
      <c r="B70" s="535" t="s">
        <v>766</v>
      </c>
      <c r="C70" s="623">
        <v>42983</v>
      </c>
      <c r="D70" s="601"/>
      <c r="E70" s="601"/>
      <c r="F70" s="601"/>
      <c r="G70" s="601"/>
      <c r="H70" s="601"/>
      <c r="I70" s="601"/>
      <c r="J70" s="601"/>
      <c r="K70" s="601"/>
      <c r="L70" s="601"/>
      <c r="M70" s="601"/>
      <c r="N70" s="601"/>
      <c r="O70" s="601"/>
      <c r="P70" s="602"/>
      <c r="Q70" s="602"/>
      <c r="R70" s="602"/>
      <c r="S70" s="602"/>
      <c r="T70" s="602"/>
      <c r="U70" s="602"/>
      <c r="V70" s="602"/>
      <c r="W70" s="603"/>
      <c r="X70" s="602"/>
      <c r="Y70" s="602"/>
      <c r="Z70" s="602"/>
      <c r="AA70" s="602"/>
      <c r="AB70" s="683"/>
      <c r="AC70" s="683"/>
      <c r="AD70" s="683"/>
      <c r="AE70" s="683"/>
      <c r="AF70" s="683"/>
      <c r="AG70" s="683"/>
      <c r="AH70" s="683"/>
      <c r="AI70" s="684"/>
      <c r="AJ70" s="683"/>
      <c r="AK70" s="683"/>
      <c r="AL70" s="832"/>
      <c r="AM70" s="683"/>
      <c r="AN70" s="834"/>
      <c r="AO70" s="833"/>
      <c r="AP70" s="833"/>
      <c r="AQ70" s="833"/>
      <c r="AR70" s="833"/>
      <c r="AS70" s="833"/>
      <c r="AT70" s="833"/>
      <c r="AU70" s="833"/>
      <c r="AV70" s="833"/>
      <c r="AW70" s="845">
        <f t="shared" si="9"/>
        <v>0</v>
      </c>
      <c r="AX70" s="537">
        <f t="shared" ref="AX70:AX86" si="15">SUM(V70:AG70)</f>
        <v>0</v>
      </c>
      <c r="AY70" s="537">
        <f t="shared" si="10"/>
        <v>0</v>
      </c>
      <c r="AZ70" s="537"/>
      <c r="BA70" s="537">
        <f t="shared" si="14"/>
        <v>0</v>
      </c>
      <c r="BB70" s="196" t="str">
        <f ca="1">DATEDIF(C70,$BC$1,"Y")&amp;"nam,"&amp;DATEDIF(C70,$BC$1,"YM")&amp;"thang,"&amp;DATEDIF(C70,$BC$1,"MD")&amp;"ngay."</f>
        <v>2nam,0thang,13ngay.</v>
      </c>
    </row>
    <row r="71" spans="1:54">
      <c r="A71" s="423">
        <f t="shared" si="13"/>
        <v>68</v>
      </c>
      <c r="B71" s="535" t="s">
        <v>765</v>
      </c>
      <c r="C71" s="623">
        <v>42969</v>
      </c>
      <c r="D71" s="601"/>
      <c r="E71" s="601"/>
      <c r="F71" s="601"/>
      <c r="G71" s="601"/>
      <c r="H71" s="601"/>
      <c r="I71" s="601"/>
      <c r="J71" s="601"/>
      <c r="K71" s="601"/>
      <c r="L71" s="601"/>
      <c r="M71" s="601"/>
      <c r="N71" s="601"/>
      <c r="O71" s="601"/>
      <c r="P71" s="602"/>
      <c r="Q71" s="602"/>
      <c r="R71" s="602"/>
      <c r="S71" s="602"/>
      <c r="T71" s="602"/>
      <c r="U71" s="602"/>
      <c r="V71" s="602"/>
      <c r="W71" s="603"/>
      <c r="X71" s="602"/>
      <c r="Y71" s="602"/>
      <c r="Z71" s="602"/>
      <c r="AA71" s="602"/>
      <c r="AB71" s="683"/>
      <c r="AC71" s="683"/>
      <c r="AD71" s="683"/>
      <c r="AE71" s="683"/>
      <c r="AF71" s="683"/>
      <c r="AG71" s="683">
        <v>1</v>
      </c>
      <c r="AH71" s="683"/>
      <c r="AI71" s="684"/>
      <c r="AJ71" s="683"/>
      <c r="AK71" s="683">
        <v>2</v>
      </c>
      <c r="AL71" s="832"/>
      <c r="AM71" s="683">
        <v>2</v>
      </c>
      <c r="AN71" s="834"/>
      <c r="AO71" s="833"/>
      <c r="AP71" s="833"/>
      <c r="AQ71" s="833">
        <v>1</v>
      </c>
      <c r="AR71" s="833"/>
      <c r="AS71" s="833"/>
      <c r="AT71" s="833"/>
      <c r="AU71" s="833"/>
      <c r="AV71" s="833"/>
      <c r="AW71" s="845">
        <f t="shared" si="9"/>
        <v>0</v>
      </c>
      <c r="AX71" s="537">
        <f t="shared" si="15"/>
        <v>1</v>
      </c>
      <c r="AY71" s="537">
        <f t="shared" si="10"/>
        <v>6</v>
      </c>
      <c r="AZ71" s="537">
        <f>SUM(AG71:AQ71)</f>
        <v>6</v>
      </c>
      <c r="BA71" s="537">
        <f t="shared" si="14"/>
        <v>1</v>
      </c>
      <c r="BB71" s="196" t="str">
        <f ca="1">DATEDIF(C71,$BC$1,"Y")&amp;"nam,"&amp;DATEDIF(C71,$BC$1,"YM")&amp;"thang,"&amp;DATEDIF(C71,$BC$1,"MD")&amp;"ngay."</f>
        <v>2nam,0thang,27ngay.</v>
      </c>
    </row>
    <row r="72" spans="1:54">
      <c r="A72" s="423">
        <f t="shared" si="13"/>
        <v>69</v>
      </c>
      <c r="B72" s="913" t="s">
        <v>751</v>
      </c>
      <c r="C72" s="623">
        <v>42788</v>
      </c>
      <c r="D72" s="601"/>
      <c r="E72" s="601"/>
      <c r="F72" s="601"/>
      <c r="G72" s="601"/>
      <c r="H72" s="601"/>
      <c r="I72" s="601"/>
      <c r="J72" s="601"/>
      <c r="K72" s="601"/>
      <c r="L72" s="601"/>
      <c r="M72" s="601"/>
      <c r="N72" s="601"/>
      <c r="O72" s="601"/>
      <c r="P72" s="602"/>
      <c r="Q72" s="602"/>
      <c r="R72" s="602"/>
      <c r="S72" s="602"/>
      <c r="T72" s="602"/>
      <c r="U72" s="602"/>
      <c r="V72" s="602"/>
      <c r="W72" s="603"/>
      <c r="X72" s="602"/>
      <c r="Y72" s="602"/>
      <c r="Z72" s="602"/>
      <c r="AA72" s="602"/>
      <c r="AB72" s="683"/>
      <c r="AC72" s="683"/>
      <c r="AD72" s="683"/>
      <c r="AE72" s="683"/>
      <c r="AF72" s="683"/>
      <c r="AG72" s="683"/>
      <c r="AH72" s="683"/>
      <c r="AI72" s="684"/>
      <c r="AJ72" s="683"/>
      <c r="AK72" s="683">
        <v>1</v>
      </c>
      <c r="AL72" s="832"/>
      <c r="AM72" s="683"/>
      <c r="AN72" s="834">
        <v>1</v>
      </c>
      <c r="AO72" s="833"/>
      <c r="AP72" s="833"/>
      <c r="AQ72" s="833"/>
      <c r="AR72" s="833"/>
      <c r="AS72" s="833"/>
      <c r="AT72" s="833"/>
      <c r="AU72" s="833"/>
      <c r="AV72" s="833"/>
      <c r="AW72" s="845">
        <f t="shared" si="9"/>
        <v>0</v>
      </c>
      <c r="AX72" s="537">
        <f t="shared" si="15"/>
        <v>0</v>
      </c>
      <c r="AY72" s="537">
        <f t="shared" si="10"/>
        <v>2</v>
      </c>
      <c r="AZ72" s="537">
        <f t="shared" ref="AZ72:AZ73" si="16">SUM(AG72:AM72)</f>
        <v>1</v>
      </c>
      <c r="BA72" s="537">
        <f t="shared" si="14"/>
        <v>1</v>
      </c>
      <c r="BB72" s="682" t="str">
        <f t="shared" ca="1" si="12"/>
        <v>2nam,6thang,27ngay.</v>
      </c>
    </row>
    <row r="73" spans="1:54">
      <c r="A73" s="423">
        <f t="shared" si="13"/>
        <v>70</v>
      </c>
      <c r="B73" s="535" t="s">
        <v>758</v>
      </c>
      <c r="C73" s="623">
        <v>42810</v>
      </c>
      <c r="D73" s="601"/>
      <c r="E73" s="601"/>
      <c r="F73" s="601"/>
      <c r="G73" s="601"/>
      <c r="H73" s="601"/>
      <c r="I73" s="601"/>
      <c r="J73" s="601"/>
      <c r="K73" s="601"/>
      <c r="L73" s="601"/>
      <c r="M73" s="601"/>
      <c r="N73" s="601"/>
      <c r="O73" s="601"/>
      <c r="P73" s="602"/>
      <c r="Q73" s="602"/>
      <c r="R73" s="602"/>
      <c r="S73" s="602"/>
      <c r="T73" s="602"/>
      <c r="U73" s="602"/>
      <c r="V73" s="602"/>
      <c r="W73" s="603"/>
      <c r="X73" s="602"/>
      <c r="Y73" s="602"/>
      <c r="Z73" s="602"/>
      <c r="AA73" s="602"/>
      <c r="AB73" s="683"/>
      <c r="AC73" s="683"/>
      <c r="AD73" s="683"/>
      <c r="AE73" s="683"/>
      <c r="AF73" s="683"/>
      <c r="AG73" s="683"/>
      <c r="AH73" s="683"/>
      <c r="AI73" s="684"/>
      <c r="AJ73" s="683"/>
      <c r="AK73" s="683"/>
      <c r="AL73" s="832"/>
      <c r="AM73" s="683"/>
      <c r="AN73" s="834"/>
      <c r="AO73" s="833"/>
      <c r="AP73" s="833"/>
      <c r="AQ73" s="833"/>
      <c r="AR73" s="833"/>
      <c r="AS73" s="833"/>
      <c r="AT73" s="833"/>
      <c r="AU73" s="833"/>
      <c r="AV73" s="833"/>
      <c r="AW73" s="845">
        <f t="shared" si="9"/>
        <v>0</v>
      </c>
      <c r="AX73" s="537">
        <f t="shared" si="15"/>
        <v>0</v>
      </c>
      <c r="AY73" s="537">
        <f t="shared" si="10"/>
        <v>0</v>
      </c>
      <c r="AZ73" s="537">
        <f t="shared" si="16"/>
        <v>0</v>
      </c>
      <c r="BA73" s="537">
        <f t="shared" si="14"/>
        <v>0</v>
      </c>
      <c r="BB73" s="196" t="str">
        <f t="shared" ca="1" si="12"/>
        <v>2nam,6thang,2ngay.</v>
      </c>
    </row>
    <row r="74" spans="1:54">
      <c r="A74" s="423">
        <f t="shared" si="13"/>
        <v>71</v>
      </c>
      <c r="B74" s="535" t="s">
        <v>759</v>
      </c>
      <c r="C74" s="623">
        <v>42844</v>
      </c>
      <c r="D74" s="601"/>
      <c r="E74" s="601"/>
      <c r="F74" s="601"/>
      <c r="G74" s="601"/>
      <c r="H74" s="601"/>
      <c r="I74" s="601"/>
      <c r="J74" s="601"/>
      <c r="K74" s="601"/>
      <c r="L74" s="601"/>
      <c r="M74" s="601"/>
      <c r="N74" s="601"/>
      <c r="O74" s="601"/>
      <c r="P74" s="602"/>
      <c r="Q74" s="602"/>
      <c r="R74" s="602"/>
      <c r="S74" s="602"/>
      <c r="T74" s="602"/>
      <c r="U74" s="602"/>
      <c r="V74" s="602"/>
      <c r="W74" s="603"/>
      <c r="X74" s="602"/>
      <c r="Y74" s="602"/>
      <c r="Z74" s="602"/>
      <c r="AA74" s="602"/>
      <c r="AB74" s="683"/>
      <c r="AC74" s="683"/>
      <c r="AD74" s="683"/>
      <c r="AE74" s="683"/>
      <c r="AF74" s="683">
        <v>1</v>
      </c>
      <c r="AG74" s="683"/>
      <c r="AH74" s="683">
        <v>1</v>
      </c>
      <c r="AI74" s="684">
        <v>1</v>
      </c>
      <c r="AJ74" s="683"/>
      <c r="AK74" s="683">
        <v>1</v>
      </c>
      <c r="AL74" s="832"/>
      <c r="AM74" s="683"/>
      <c r="AN74" s="834">
        <v>1</v>
      </c>
      <c r="AO74" s="833"/>
      <c r="AP74" s="833">
        <v>1</v>
      </c>
      <c r="AQ74" s="833"/>
      <c r="AR74" s="833"/>
      <c r="AS74" s="833"/>
      <c r="AT74" s="833"/>
      <c r="AU74" s="833"/>
      <c r="AV74" s="833"/>
      <c r="AW74" s="845">
        <f t="shared" si="9"/>
        <v>0</v>
      </c>
      <c r="AX74" s="537"/>
      <c r="AY74" s="537">
        <f t="shared" si="10"/>
        <v>6</v>
      </c>
      <c r="AZ74" s="537">
        <f>SUM(AF74:AP74)</f>
        <v>6</v>
      </c>
      <c r="BA74" s="537">
        <f t="shared" si="14"/>
        <v>2</v>
      </c>
      <c r="BB74" s="196" t="str">
        <f t="shared" ca="1" si="12"/>
        <v>2nam,4thang,30ngay.</v>
      </c>
    </row>
    <row r="75" spans="1:54">
      <c r="A75" s="423">
        <f t="shared" si="13"/>
        <v>72</v>
      </c>
      <c r="B75" s="535" t="s">
        <v>760</v>
      </c>
      <c r="C75" s="623">
        <v>42941</v>
      </c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2"/>
      <c r="Q75" s="602"/>
      <c r="R75" s="602"/>
      <c r="S75" s="602"/>
      <c r="T75" s="602"/>
      <c r="U75" s="602"/>
      <c r="V75" s="602"/>
      <c r="W75" s="603"/>
      <c r="X75" s="602"/>
      <c r="Y75" s="602"/>
      <c r="Z75" s="602"/>
      <c r="AA75" s="602"/>
      <c r="AB75" s="683"/>
      <c r="AC75" s="683"/>
      <c r="AD75" s="683"/>
      <c r="AE75" s="683"/>
      <c r="AF75" s="683"/>
      <c r="AG75" s="683"/>
      <c r="AH75" s="683"/>
      <c r="AI75" s="684"/>
      <c r="AJ75" s="683"/>
      <c r="AK75" s="683"/>
      <c r="AL75" s="832"/>
      <c r="AM75" s="683"/>
      <c r="AN75" s="834"/>
      <c r="AO75" s="833"/>
      <c r="AP75" s="833"/>
      <c r="AQ75" s="833"/>
      <c r="AR75" s="833"/>
      <c r="AS75" s="833"/>
      <c r="AT75" s="833"/>
      <c r="AU75" s="833"/>
      <c r="AV75" s="833"/>
      <c r="AW75" s="845">
        <f t="shared" si="9"/>
        <v>0</v>
      </c>
      <c r="AX75" s="537">
        <f t="shared" si="15"/>
        <v>0</v>
      </c>
      <c r="AY75" s="537">
        <f t="shared" si="10"/>
        <v>0</v>
      </c>
      <c r="AZ75" s="537"/>
      <c r="BA75" s="537">
        <f t="shared" si="14"/>
        <v>0</v>
      </c>
      <c r="BB75" s="196" t="str">
        <f t="shared" ca="1" si="12"/>
        <v>2nam,1thang,24ngay.</v>
      </c>
    </row>
    <row r="76" spans="1:54">
      <c r="A76" s="423">
        <f t="shared" si="13"/>
        <v>73</v>
      </c>
      <c r="B76" s="535" t="s">
        <v>761</v>
      </c>
      <c r="C76" s="624">
        <v>42933</v>
      </c>
      <c r="D76" s="601"/>
      <c r="E76" s="601"/>
      <c r="F76" s="601"/>
      <c r="G76" s="601"/>
      <c r="H76" s="601"/>
      <c r="I76" s="601"/>
      <c r="J76" s="601"/>
      <c r="K76" s="601"/>
      <c r="L76" s="601"/>
      <c r="M76" s="601"/>
      <c r="N76" s="601"/>
      <c r="O76" s="601"/>
      <c r="P76" s="602"/>
      <c r="Q76" s="602"/>
      <c r="R76" s="602"/>
      <c r="S76" s="602"/>
      <c r="T76" s="602"/>
      <c r="U76" s="602"/>
      <c r="V76" s="602"/>
      <c r="W76" s="603"/>
      <c r="X76" s="602"/>
      <c r="Y76" s="602"/>
      <c r="Z76" s="602"/>
      <c r="AA76" s="602"/>
      <c r="AB76" s="683"/>
      <c r="AC76" s="683"/>
      <c r="AD76" s="683"/>
      <c r="AE76" s="683"/>
      <c r="AF76" s="683"/>
      <c r="AG76" s="683"/>
      <c r="AH76" s="683"/>
      <c r="AI76" s="684"/>
      <c r="AJ76" s="683"/>
      <c r="AK76" s="683"/>
      <c r="AL76" s="832"/>
      <c r="AM76" s="683"/>
      <c r="AN76" s="834"/>
      <c r="AO76" s="833"/>
      <c r="AP76" s="833"/>
      <c r="AQ76" s="833"/>
      <c r="AR76" s="833"/>
      <c r="AS76" s="833"/>
      <c r="AT76" s="833"/>
      <c r="AU76" s="833"/>
      <c r="AV76" s="833"/>
      <c r="AW76" s="845">
        <f t="shared" si="9"/>
        <v>0</v>
      </c>
      <c r="AX76" s="537">
        <f t="shared" si="15"/>
        <v>0</v>
      </c>
      <c r="AY76" s="537">
        <f t="shared" si="10"/>
        <v>0</v>
      </c>
      <c r="AZ76" s="537"/>
      <c r="BA76" s="537">
        <f t="shared" si="14"/>
        <v>0</v>
      </c>
      <c r="BB76" s="196" t="str">
        <f t="shared" ca="1" si="12"/>
        <v>2nam,2thang,1ngay.</v>
      </c>
    </row>
    <row r="77" spans="1:54">
      <c r="A77" s="423">
        <f t="shared" si="13"/>
        <v>74</v>
      </c>
      <c r="B77" s="913" t="s">
        <v>747</v>
      </c>
      <c r="C77" s="604">
        <v>42751</v>
      </c>
      <c r="D77" s="601"/>
      <c r="E77" s="601"/>
      <c r="F77" s="601"/>
      <c r="G77" s="601"/>
      <c r="H77" s="601"/>
      <c r="I77" s="601"/>
      <c r="J77" s="601"/>
      <c r="K77" s="601"/>
      <c r="L77" s="601"/>
      <c r="M77" s="601"/>
      <c r="N77" s="601"/>
      <c r="O77" s="601"/>
      <c r="P77" s="602"/>
      <c r="Q77" s="602"/>
      <c r="R77" s="602"/>
      <c r="S77" s="602"/>
      <c r="T77" s="602"/>
      <c r="U77" s="602"/>
      <c r="V77" s="602"/>
      <c r="W77" s="603"/>
      <c r="X77" s="602"/>
      <c r="Y77" s="602"/>
      <c r="Z77" s="602"/>
      <c r="AA77" s="602"/>
      <c r="AB77" s="683"/>
      <c r="AC77" s="683"/>
      <c r="AD77" s="683">
        <v>1</v>
      </c>
      <c r="AE77" s="683"/>
      <c r="AF77" s="683">
        <v>1</v>
      </c>
      <c r="AG77" s="683">
        <v>1</v>
      </c>
      <c r="AH77" s="683">
        <v>2</v>
      </c>
      <c r="AI77" s="684">
        <v>1</v>
      </c>
      <c r="AJ77" s="683">
        <v>1</v>
      </c>
      <c r="AK77" s="683">
        <v>2</v>
      </c>
      <c r="AL77" s="832"/>
      <c r="AM77" s="683">
        <v>1</v>
      </c>
      <c r="AN77" s="834">
        <v>1</v>
      </c>
      <c r="AO77" s="833"/>
      <c r="AP77" s="833"/>
      <c r="AQ77" s="833">
        <v>1</v>
      </c>
      <c r="AR77" s="833">
        <v>2</v>
      </c>
      <c r="AS77" s="833">
        <v>3</v>
      </c>
      <c r="AT77" s="833"/>
      <c r="AU77" s="833">
        <v>1</v>
      </c>
      <c r="AV77" s="833"/>
      <c r="AW77" s="845">
        <f t="shared" si="9"/>
        <v>0</v>
      </c>
      <c r="AX77" s="537"/>
      <c r="AY77" s="537">
        <f t="shared" si="10"/>
        <v>18</v>
      </c>
      <c r="AZ77" s="537">
        <f>SUM(AD77:AQ77)</f>
        <v>12</v>
      </c>
      <c r="BA77" s="537">
        <f t="shared" si="14"/>
        <v>8</v>
      </c>
      <c r="BB77" s="682" t="str">
        <f t="shared" ca="1" si="12"/>
        <v>2nam,8thang,2ngay.</v>
      </c>
    </row>
    <row r="78" spans="1:54">
      <c r="A78" s="423">
        <f t="shared" si="13"/>
        <v>75</v>
      </c>
      <c r="B78" s="913" t="s">
        <v>748</v>
      </c>
      <c r="C78" s="604">
        <v>42756</v>
      </c>
      <c r="D78" s="601"/>
      <c r="E78" s="601"/>
      <c r="F78" s="601"/>
      <c r="G78" s="601"/>
      <c r="H78" s="601"/>
      <c r="I78" s="601"/>
      <c r="J78" s="601"/>
      <c r="K78" s="601"/>
      <c r="L78" s="601"/>
      <c r="M78" s="601"/>
      <c r="N78" s="601"/>
      <c r="O78" s="601"/>
      <c r="P78" s="602"/>
      <c r="Q78" s="602"/>
      <c r="R78" s="602"/>
      <c r="S78" s="602"/>
      <c r="T78" s="602"/>
      <c r="U78" s="602"/>
      <c r="V78" s="602"/>
      <c r="W78" s="603"/>
      <c r="X78" s="602"/>
      <c r="Y78" s="602"/>
      <c r="Z78" s="602"/>
      <c r="AA78" s="602"/>
      <c r="AB78" s="683"/>
      <c r="AC78" s="683"/>
      <c r="AD78" s="683"/>
      <c r="AE78" s="683"/>
      <c r="AF78" s="683">
        <v>1</v>
      </c>
      <c r="AG78" s="683"/>
      <c r="AH78" s="683">
        <v>1</v>
      </c>
      <c r="AI78" s="684">
        <v>1</v>
      </c>
      <c r="AJ78" s="683"/>
      <c r="AK78" s="683"/>
      <c r="AL78" s="832">
        <v>1</v>
      </c>
      <c r="AM78" s="683"/>
      <c r="AN78" s="834"/>
      <c r="AO78" s="833"/>
      <c r="AP78" s="833"/>
      <c r="AQ78" s="833">
        <v>1</v>
      </c>
      <c r="AR78" s="833">
        <v>2</v>
      </c>
      <c r="AS78" s="833">
        <v>1</v>
      </c>
      <c r="AT78" s="833">
        <v>1</v>
      </c>
      <c r="AU78" s="833"/>
      <c r="AV78" s="833"/>
      <c r="AW78" s="845">
        <f t="shared" si="9"/>
        <v>0</v>
      </c>
      <c r="AX78" s="537"/>
      <c r="AY78" s="537">
        <f t="shared" si="10"/>
        <v>9</v>
      </c>
      <c r="AZ78" s="537">
        <f>SUM(AD78:AM78)</f>
        <v>4</v>
      </c>
      <c r="BA78" s="537">
        <f t="shared" si="14"/>
        <v>5</v>
      </c>
      <c r="BB78" s="682" t="str">
        <f t="shared" ca="1" si="12"/>
        <v>2nam,7thang,28ngay.</v>
      </c>
    </row>
    <row r="79" spans="1:54">
      <c r="A79" s="423">
        <f t="shared" si="13"/>
        <v>76</v>
      </c>
      <c r="B79" s="913" t="s">
        <v>749</v>
      </c>
      <c r="C79" s="604">
        <v>42770</v>
      </c>
      <c r="D79" s="601"/>
      <c r="E79" s="601"/>
      <c r="F79" s="601"/>
      <c r="G79" s="601"/>
      <c r="H79" s="601"/>
      <c r="I79" s="601"/>
      <c r="J79" s="601"/>
      <c r="K79" s="601"/>
      <c r="L79" s="601"/>
      <c r="M79" s="601"/>
      <c r="N79" s="601"/>
      <c r="O79" s="601"/>
      <c r="P79" s="602"/>
      <c r="Q79" s="602"/>
      <c r="R79" s="602"/>
      <c r="S79" s="602"/>
      <c r="T79" s="602"/>
      <c r="U79" s="602"/>
      <c r="V79" s="602"/>
      <c r="W79" s="603"/>
      <c r="X79" s="602"/>
      <c r="Y79" s="602"/>
      <c r="Z79" s="602"/>
      <c r="AA79" s="602"/>
      <c r="AB79" s="683"/>
      <c r="AC79" s="683"/>
      <c r="AD79" s="683">
        <v>1</v>
      </c>
      <c r="AE79" s="683">
        <v>1</v>
      </c>
      <c r="AF79" s="683"/>
      <c r="AG79" s="683"/>
      <c r="AH79" s="683">
        <v>1</v>
      </c>
      <c r="AI79" s="684">
        <v>1</v>
      </c>
      <c r="AJ79" s="683">
        <v>2</v>
      </c>
      <c r="AK79" s="683"/>
      <c r="AL79" s="832"/>
      <c r="AM79" s="683">
        <v>2</v>
      </c>
      <c r="AN79" s="834">
        <v>1</v>
      </c>
      <c r="AO79" s="833"/>
      <c r="AP79" s="833">
        <v>1</v>
      </c>
      <c r="AQ79" s="833"/>
      <c r="AR79" s="833"/>
      <c r="AS79" s="833"/>
      <c r="AT79" s="833">
        <v>2</v>
      </c>
      <c r="AU79" s="833"/>
      <c r="AV79" s="833"/>
      <c r="AW79" s="845">
        <f t="shared" si="9"/>
        <v>0</v>
      </c>
      <c r="AX79" s="537"/>
      <c r="AY79" s="537">
        <f t="shared" si="10"/>
        <v>12</v>
      </c>
      <c r="AZ79" s="537">
        <f>SUM(AD79:AP79)</f>
        <v>10</v>
      </c>
      <c r="BA79" s="537">
        <f t="shared" si="14"/>
        <v>4</v>
      </c>
      <c r="BB79" s="682" t="str">
        <f t="shared" ca="1" si="12"/>
        <v>2nam,7thang,14ngay.</v>
      </c>
    </row>
    <row r="80" spans="1:54">
      <c r="A80" s="423">
        <f t="shared" si="13"/>
        <v>77</v>
      </c>
      <c r="B80" s="913" t="s">
        <v>753</v>
      </c>
      <c r="C80" s="604">
        <v>42789</v>
      </c>
      <c r="D80" s="601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2"/>
      <c r="Q80" s="602"/>
      <c r="R80" s="602"/>
      <c r="S80" s="602"/>
      <c r="T80" s="602"/>
      <c r="U80" s="602"/>
      <c r="V80" s="602"/>
      <c r="W80" s="603"/>
      <c r="X80" s="602"/>
      <c r="Y80" s="602"/>
      <c r="Z80" s="602"/>
      <c r="AA80" s="602"/>
      <c r="AB80" s="683"/>
      <c r="AC80" s="683"/>
      <c r="AD80" s="683"/>
      <c r="AE80" s="683"/>
      <c r="AF80" s="683">
        <v>1</v>
      </c>
      <c r="AG80" s="683"/>
      <c r="AH80" s="683"/>
      <c r="AI80" s="684">
        <v>1</v>
      </c>
      <c r="AJ80" s="683">
        <v>2</v>
      </c>
      <c r="AK80" s="683"/>
      <c r="AL80" s="832"/>
      <c r="AM80" s="683"/>
      <c r="AN80" s="834"/>
      <c r="AO80" s="833">
        <v>2</v>
      </c>
      <c r="AP80" s="833"/>
      <c r="AQ80" s="833"/>
      <c r="AR80" s="833">
        <v>1</v>
      </c>
      <c r="AS80" s="833"/>
      <c r="AT80" s="833"/>
      <c r="AU80" s="833"/>
      <c r="AV80" s="833"/>
      <c r="AW80" s="845">
        <f t="shared" si="9"/>
        <v>0</v>
      </c>
      <c r="AX80" s="537"/>
      <c r="AY80" s="537">
        <f t="shared" si="10"/>
        <v>7</v>
      </c>
      <c r="AZ80" s="537">
        <f>SUM(AF80:AO80)</f>
        <v>6</v>
      </c>
      <c r="BA80" s="537">
        <f t="shared" si="14"/>
        <v>3</v>
      </c>
      <c r="BB80" s="682" t="str">
        <f t="shared" ca="1" si="12"/>
        <v>2nam,6thang,26ngay.</v>
      </c>
    </row>
    <row r="81" spans="1:54">
      <c r="A81" s="423">
        <f t="shared" si="13"/>
        <v>78</v>
      </c>
      <c r="B81" s="913" t="s">
        <v>754</v>
      </c>
      <c r="C81" s="604">
        <v>42789</v>
      </c>
      <c r="D81" s="601"/>
      <c r="E81" s="601"/>
      <c r="F81" s="601"/>
      <c r="G81" s="601"/>
      <c r="H81" s="601"/>
      <c r="I81" s="601"/>
      <c r="J81" s="601"/>
      <c r="K81" s="601"/>
      <c r="L81" s="601"/>
      <c r="M81" s="601"/>
      <c r="N81" s="601"/>
      <c r="O81" s="601"/>
      <c r="P81" s="602"/>
      <c r="Q81" s="602"/>
      <c r="R81" s="602"/>
      <c r="S81" s="602"/>
      <c r="T81" s="602"/>
      <c r="U81" s="602"/>
      <c r="V81" s="602"/>
      <c r="W81" s="603"/>
      <c r="X81" s="602"/>
      <c r="Y81" s="602"/>
      <c r="Z81" s="602"/>
      <c r="AA81" s="602"/>
      <c r="AB81" s="683"/>
      <c r="AC81" s="683"/>
      <c r="AD81" s="683">
        <v>2</v>
      </c>
      <c r="AE81" s="683"/>
      <c r="AF81" s="683">
        <v>1</v>
      </c>
      <c r="AG81" s="683"/>
      <c r="AH81" s="683"/>
      <c r="AI81" s="684">
        <v>1</v>
      </c>
      <c r="AJ81" s="683"/>
      <c r="AK81" s="683">
        <v>1</v>
      </c>
      <c r="AL81" s="832"/>
      <c r="AM81" s="683"/>
      <c r="AN81" s="834"/>
      <c r="AO81" s="833"/>
      <c r="AP81" s="833"/>
      <c r="AQ81" s="833">
        <v>1</v>
      </c>
      <c r="AR81" s="833"/>
      <c r="AS81" s="833"/>
      <c r="AT81" s="833">
        <v>1</v>
      </c>
      <c r="AU81" s="833">
        <v>1</v>
      </c>
      <c r="AV81" s="833"/>
      <c r="AW81" s="845">
        <f t="shared" si="9"/>
        <v>0</v>
      </c>
      <c r="AX81" s="537"/>
      <c r="AY81" s="537">
        <f t="shared" si="10"/>
        <v>8</v>
      </c>
      <c r="AZ81" s="537">
        <f>SUM(AD81:AQ81)</f>
        <v>6</v>
      </c>
      <c r="BA81" s="537">
        <f t="shared" si="14"/>
        <v>3</v>
      </c>
      <c r="BB81" s="682" t="str">
        <f t="shared" ca="1" si="12"/>
        <v>2nam,6thang,26ngay.</v>
      </c>
    </row>
    <row r="82" spans="1:54">
      <c r="A82" s="423">
        <f t="shared" si="13"/>
        <v>79</v>
      </c>
      <c r="B82" s="913" t="s">
        <v>756</v>
      </c>
      <c r="C82" s="604">
        <v>42789</v>
      </c>
      <c r="D82" s="601"/>
      <c r="E82" s="601"/>
      <c r="F82" s="601"/>
      <c r="G82" s="601"/>
      <c r="H82" s="601"/>
      <c r="I82" s="601"/>
      <c r="J82" s="601"/>
      <c r="K82" s="601"/>
      <c r="L82" s="601"/>
      <c r="M82" s="601"/>
      <c r="N82" s="601"/>
      <c r="O82" s="601"/>
      <c r="P82" s="602"/>
      <c r="Q82" s="602"/>
      <c r="R82" s="602"/>
      <c r="S82" s="602"/>
      <c r="T82" s="602"/>
      <c r="U82" s="602"/>
      <c r="V82" s="602"/>
      <c r="W82" s="603"/>
      <c r="X82" s="602"/>
      <c r="Y82" s="602"/>
      <c r="Z82" s="602"/>
      <c r="AA82" s="602"/>
      <c r="AB82" s="683"/>
      <c r="AC82" s="683"/>
      <c r="AD82" s="683">
        <v>1</v>
      </c>
      <c r="AE82" s="683">
        <v>2</v>
      </c>
      <c r="AF82" s="683"/>
      <c r="AG82" s="683"/>
      <c r="AH82" s="683"/>
      <c r="AI82" s="684"/>
      <c r="AJ82" s="683"/>
      <c r="AK82" s="683"/>
      <c r="AL82" s="832"/>
      <c r="AM82" s="683"/>
      <c r="AN82" s="834"/>
      <c r="AO82" s="833"/>
      <c r="AP82" s="833"/>
      <c r="AQ82" s="833"/>
      <c r="AR82" s="833"/>
      <c r="AS82" s="833"/>
      <c r="AT82" s="833"/>
      <c r="AU82" s="833"/>
      <c r="AV82" s="833"/>
      <c r="AW82" s="845">
        <f t="shared" si="9"/>
        <v>0</v>
      </c>
      <c r="AX82" s="537"/>
      <c r="AY82" s="537">
        <f t="shared" si="10"/>
        <v>3</v>
      </c>
      <c r="AZ82" s="537">
        <f>SUM(AD82:AM82)</f>
        <v>3</v>
      </c>
      <c r="BA82" s="537">
        <f t="shared" si="14"/>
        <v>0</v>
      </c>
      <c r="BB82" s="682" t="str">
        <f t="shared" ca="1" si="12"/>
        <v>2nam,6thang,26ngay.</v>
      </c>
    </row>
    <row r="83" spans="1:54" s="734" customFormat="1">
      <c r="A83" s="729">
        <f t="shared" si="13"/>
        <v>80</v>
      </c>
      <c r="B83" s="914" t="s">
        <v>755</v>
      </c>
      <c r="C83" s="735">
        <v>42789</v>
      </c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2"/>
      <c r="X83" s="731"/>
      <c r="Y83" s="731"/>
      <c r="Z83" s="731"/>
      <c r="AA83" s="731"/>
      <c r="AB83" s="731"/>
      <c r="AC83" s="731"/>
      <c r="AD83" s="731"/>
      <c r="AE83" s="731"/>
      <c r="AF83" s="731"/>
      <c r="AG83" s="731"/>
      <c r="AH83" s="731"/>
      <c r="AI83" s="732"/>
      <c r="AJ83" s="731"/>
      <c r="AK83" s="731"/>
      <c r="AL83" s="844"/>
      <c r="AM83" s="731"/>
      <c r="AN83" s="834"/>
      <c r="AO83" s="833"/>
      <c r="AP83" s="833"/>
      <c r="AQ83" s="833"/>
      <c r="AR83" s="833"/>
      <c r="AS83" s="833"/>
      <c r="AT83" s="833"/>
      <c r="AU83" s="833"/>
      <c r="AV83" s="833"/>
      <c r="AW83" s="847">
        <f t="shared" si="9"/>
        <v>0</v>
      </c>
      <c r="AX83" s="733"/>
      <c r="AY83" s="733">
        <f t="shared" si="10"/>
        <v>0</v>
      </c>
      <c r="AZ83" s="733">
        <f>SUM(AD83:AM83)</f>
        <v>0</v>
      </c>
      <c r="BA83" s="537">
        <f t="shared" si="14"/>
        <v>0</v>
      </c>
      <c r="BB83" s="734" t="str">
        <f t="shared" ca="1" si="12"/>
        <v>2nam,6thang,26ngay.</v>
      </c>
    </row>
    <row r="84" spans="1:54">
      <c r="A84" s="423">
        <f t="shared" si="13"/>
        <v>81</v>
      </c>
      <c r="B84" s="438" t="s">
        <v>757</v>
      </c>
      <c r="C84" s="624">
        <v>42789</v>
      </c>
      <c r="D84" s="601"/>
      <c r="E84" s="601"/>
      <c r="F84" s="601"/>
      <c r="G84" s="601"/>
      <c r="H84" s="601"/>
      <c r="I84" s="601"/>
      <c r="J84" s="601"/>
      <c r="K84" s="601"/>
      <c r="L84" s="601"/>
      <c r="M84" s="601"/>
      <c r="N84" s="601"/>
      <c r="O84" s="601"/>
      <c r="P84" s="602"/>
      <c r="Q84" s="602"/>
      <c r="R84" s="602"/>
      <c r="S84" s="602"/>
      <c r="T84" s="602"/>
      <c r="U84" s="602"/>
      <c r="V84" s="602"/>
      <c r="W84" s="603"/>
      <c r="X84" s="602"/>
      <c r="Y84" s="602"/>
      <c r="Z84" s="602"/>
      <c r="AA84" s="602"/>
      <c r="AB84" s="683"/>
      <c r="AC84" s="683"/>
      <c r="AD84" s="683"/>
      <c r="AE84" s="683">
        <v>1</v>
      </c>
      <c r="AF84" s="683">
        <v>1</v>
      </c>
      <c r="AG84" s="683">
        <v>2</v>
      </c>
      <c r="AH84" s="683">
        <v>1</v>
      </c>
      <c r="AI84" s="684">
        <v>1</v>
      </c>
      <c r="AJ84" s="683"/>
      <c r="AK84" s="683">
        <v>2</v>
      </c>
      <c r="AL84" s="832">
        <v>4</v>
      </c>
      <c r="AM84" s="683"/>
      <c r="AN84" s="834">
        <v>1</v>
      </c>
      <c r="AO84" s="833">
        <v>1.5</v>
      </c>
      <c r="AP84" s="833"/>
      <c r="AQ84" s="833">
        <v>1</v>
      </c>
      <c r="AR84" s="833">
        <v>1.5</v>
      </c>
      <c r="AS84" s="833">
        <v>2</v>
      </c>
      <c r="AT84" s="833"/>
      <c r="AU84" s="833">
        <v>2</v>
      </c>
      <c r="AV84" s="833"/>
      <c r="AW84" s="845">
        <f t="shared" si="9"/>
        <v>0</v>
      </c>
      <c r="AX84" s="537"/>
      <c r="AY84" s="537">
        <f t="shared" si="10"/>
        <v>21</v>
      </c>
      <c r="AZ84" s="537">
        <f>SUM(AD84:AM84)</f>
        <v>12</v>
      </c>
      <c r="BA84" s="537">
        <f t="shared" si="14"/>
        <v>9</v>
      </c>
      <c r="BB84" s="682" t="str">
        <f t="shared" ca="1" si="12"/>
        <v>2nam,6thang,26ngay.</v>
      </c>
    </row>
    <row r="85" spans="1:54" s="734" customFormat="1">
      <c r="A85" s="729">
        <f t="shared" si="13"/>
        <v>82</v>
      </c>
      <c r="B85" s="914" t="s">
        <v>770</v>
      </c>
      <c r="C85" s="730">
        <v>43073</v>
      </c>
      <c r="D85" s="731"/>
      <c r="E85" s="731"/>
      <c r="F85" s="731"/>
      <c r="G85" s="731"/>
      <c r="H85" s="731"/>
      <c r="I85" s="731"/>
      <c r="J85" s="731"/>
      <c r="K85" s="731"/>
      <c r="L85" s="731"/>
      <c r="M85" s="731"/>
      <c r="N85" s="731"/>
      <c r="O85" s="731"/>
      <c r="P85" s="731"/>
      <c r="Q85" s="731"/>
      <c r="R85" s="731"/>
      <c r="S85" s="731"/>
      <c r="T85" s="731"/>
      <c r="U85" s="731"/>
      <c r="V85" s="731"/>
      <c r="W85" s="732"/>
      <c r="X85" s="731"/>
      <c r="Y85" s="731"/>
      <c r="Z85" s="731"/>
      <c r="AA85" s="731"/>
      <c r="AB85" s="731"/>
      <c r="AC85" s="731"/>
      <c r="AD85" s="731"/>
      <c r="AE85" s="731"/>
      <c r="AF85" s="731"/>
      <c r="AG85" s="731"/>
      <c r="AH85" s="731"/>
      <c r="AI85" s="732"/>
      <c r="AJ85" s="731"/>
      <c r="AK85" s="731"/>
      <c r="AL85" s="844"/>
      <c r="AM85" s="731"/>
      <c r="AN85" s="834"/>
      <c r="AO85" s="833"/>
      <c r="AP85" s="833"/>
      <c r="AQ85" s="833"/>
      <c r="AR85" s="833"/>
      <c r="AS85" s="833"/>
      <c r="AT85" s="833"/>
      <c r="AU85" s="833"/>
      <c r="AV85" s="833"/>
      <c r="AW85" s="847">
        <f t="shared" si="9"/>
        <v>0</v>
      </c>
      <c r="AX85" s="733">
        <f t="shared" si="15"/>
        <v>0</v>
      </c>
      <c r="AY85" s="733">
        <f t="shared" si="10"/>
        <v>0</v>
      </c>
      <c r="AZ85" s="733"/>
      <c r="BA85" s="537">
        <f t="shared" si="14"/>
        <v>0</v>
      </c>
      <c r="BB85" s="734" t="str">
        <f t="shared" ca="1" si="12"/>
        <v>1nam,9thang,14ngay.</v>
      </c>
    </row>
    <row r="86" spans="1:54">
      <c r="A86" s="423">
        <f t="shared" si="13"/>
        <v>83</v>
      </c>
      <c r="B86" s="535" t="s">
        <v>771</v>
      </c>
      <c r="C86" s="624">
        <v>43084</v>
      </c>
      <c r="D86" s="601"/>
      <c r="E86" s="601"/>
      <c r="F86" s="601"/>
      <c r="G86" s="601"/>
      <c r="H86" s="601"/>
      <c r="I86" s="601"/>
      <c r="J86" s="601"/>
      <c r="K86" s="601"/>
      <c r="L86" s="601"/>
      <c r="M86" s="601"/>
      <c r="N86" s="601"/>
      <c r="O86" s="601"/>
      <c r="P86" s="602"/>
      <c r="Q86" s="602"/>
      <c r="R86" s="602"/>
      <c r="S86" s="602"/>
      <c r="T86" s="602"/>
      <c r="U86" s="602"/>
      <c r="V86" s="602"/>
      <c r="W86" s="603"/>
      <c r="X86" s="602"/>
      <c r="Y86" s="602"/>
      <c r="Z86" s="602"/>
      <c r="AA86" s="602"/>
      <c r="AB86" s="683"/>
      <c r="AC86" s="683"/>
      <c r="AD86" s="683"/>
      <c r="AE86" s="683"/>
      <c r="AF86" s="683"/>
      <c r="AG86" s="683"/>
      <c r="AH86" s="683"/>
      <c r="AI86" s="684"/>
      <c r="AJ86" s="683"/>
      <c r="AK86" s="683"/>
      <c r="AL86" s="832"/>
      <c r="AM86" s="683"/>
      <c r="AN86" s="834"/>
      <c r="AO86" s="833"/>
      <c r="AP86" s="833">
        <v>1</v>
      </c>
      <c r="AQ86" s="833"/>
      <c r="AR86" s="833"/>
      <c r="AS86" s="833"/>
      <c r="AT86" s="833"/>
      <c r="AU86" s="833"/>
      <c r="AV86" s="833"/>
      <c r="AW86" s="845">
        <f t="shared" si="9"/>
        <v>0</v>
      </c>
      <c r="AX86" s="537">
        <f t="shared" si="15"/>
        <v>0</v>
      </c>
      <c r="AY86" s="537">
        <f t="shared" si="10"/>
        <v>1</v>
      </c>
      <c r="AZ86" s="537">
        <f>SUM(AN86:AP86)</f>
        <v>1</v>
      </c>
      <c r="BA86" s="537">
        <f t="shared" si="14"/>
        <v>1</v>
      </c>
      <c r="BB86" s="196" t="str">
        <f t="shared" ca="1" si="12"/>
        <v>1nam,9thang,3ngay.</v>
      </c>
    </row>
    <row r="87" spans="1:54">
      <c r="A87" s="423">
        <f t="shared" si="13"/>
        <v>84</v>
      </c>
      <c r="B87" s="535" t="s">
        <v>776</v>
      </c>
      <c r="C87" s="624">
        <v>43177</v>
      </c>
      <c r="D87" s="601"/>
      <c r="E87" s="601"/>
      <c r="F87" s="601"/>
      <c r="G87" s="601"/>
      <c r="H87" s="601"/>
      <c r="I87" s="601"/>
      <c r="J87" s="601"/>
      <c r="K87" s="601"/>
      <c r="L87" s="601"/>
      <c r="M87" s="601"/>
      <c r="N87" s="601"/>
      <c r="O87" s="601"/>
      <c r="P87" s="602"/>
      <c r="Q87" s="602"/>
      <c r="R87" s="602"/>
      <c r="S87" s="602"/>
      <c r="T87" s="602"/>
      <c r="U87" s="602"/>
      <c r="V87" s="602"/>
      <c r="W87" s="603"/>
      <c r="X87" s="602"/>
      <c r="Y87" s="602"/>
      <c r="Z87" s="602"/>
      <c r="AA87" s="602"/>
      <c r="AB87" s="683"/>
      <c r="AC87" s="683"/>
      <c r="AD87" s="683"/>
      <c r="AE87" s="683"/>
      <c r="AF87" s="683"/>
      <c r="AG87" s="683"/>
      <c r="AH87" s="683"/>
      <c r="AI87" s="684">
        <v>1</v>
      </c>
      <c r="AJ87" s="683"/>
      <c r="AK87" s="683">
        <v>1</v>
      </c>
      <c r="AL87" s="832"/>
      <c r="AM87" s="683"/>
      <c r="AN87" s="834">
        <v>1</v>
      </c>
      <c r="AO87" s="833"/>
      <c r="AP87" s="833">
        <v>1</v>
      </c>
      <c r="AQ87" s="833"/>
      <c r="AR87" s="833">
        <v>1</v>
      </c>
      <c r="AS87" s="833"/>
      <c r="AT87" s="833">
        <v>1.5</v>
      </c>
      <c r="AU87" s="833"/>
      <c r="AV87" s="833"/>
      <c r="AW87" s="845">
        <f t="shared" si="9"/>
        <v>0</v>
      </c>
      <c r="AX87" s="537">
        <f>SUM(V87:AG87)</f>
        <v>0</v>
      </c>
      <c r="AY87" s="537">
        <f t="shared" si="10"/>
        <v>6.5</v>
      </c>
      <c r="AZ87" s="537">
        <f>SUM(AI87:AP87)</f>
        <v>4</v>
      </c>
      <c r="BA87" s="537">
        <f t="shared" si="14"/>
        <v>4.5</v>
      </c>
      <c r="BB87" s="196" t="str">
        <f t="shared" ca="1" si="12"/>
        <v>1nam,6thang,0ngay.</v>
      </c>
    </row>
    <row r="88" spans="1:54">
      <c r="A88" s="423">
        <f t="shared" si="13"/>
        <v>85</v>
      </c>
      <c r="B88" s="535" t="s">
        <v>779</v>
      </c>
      <c r="C88" s="624">
        <v>43159</v>
      </c>
      <c r="D88" s="601"/>
      <c r="E88" s="601"/>
      <c r="F88" s="601"/>
      <c r="G88" s="601"/>
      <c r="H88" s="601"/>
      <c r="I88" s="601"/>
      <c r="J88" s="601"/>
      <c r="K88" s="601"/>
      <c r="L88" s="601"/>
      <c r="M88" s="601"/>
      <c r="N88" s="601"/>
      <c r="O88" s="601"/>
      <c r="P88" s="602"/>
      <c r="Q88" s="602"/>
      <c r="R88" s="602"/>
      <c r="S88" s="602"/>
      <c r="T88" s="602"/>
      <c r="U88" s="602"/>
      <c r="V88" s="602"/>
      <c r="W88" s="603"/>
      <c r="X88" s="602"/>
      <c r="Y88" s="602"/>
      <c r="Z88" s="602"/>
      <c r="AA88" s="602"/>
      <c r="AB88" s="683"/>
      <c r="AC88" s="683"/>
      <c r="AD88" s="683"/>
      <c r="AE88" s="683"/>
      <c r="AF88" s="683"/>
      <c r="AG88" s="683"/>
      <c r="AH88" s="683"/>
      <c r="AI88" s="684"/>
      <c r="AJ88" s="683"/>
      <c r="AK88" s="683">
        <v>2</v>
      </c>
      <c r="AL88" s="832"/>
      <c r="AM88" s="683"/>
      <c r="AN88" s="834"/>
      <c r="AO88" s="833"/>
      <c r="AP88" s="833"/>
      <c r="AQ88" s="833"/>
      <c r="AR88" s="833">
        <v>2</v>
      </c>
      <c r="AS88" s="833">
        <v>1</v>
      </c>
      <c r="AT88" s="833">
        <v>1</v>
      </c>
      <c r="AU88" s="833"/>
      <c r="AV88" s="833"/>
      <c r="AW88" s="848"/>
      <c r="AX88" s="423"/>
      <c r="AZ88" s="537">
        <f>SUM(AI88:AM88)</f>
        <v>2</v>
      </c>
      <c r="BA88" s="537">
        <f t="shared" si="14"/>
        <v>4</v>
      </c>
      <c r="BB88" s="196" t="str">
        <f t="shared" ca="1" si="12"/>
        <v>1nam,6thang,21ngay.</v>
      </c>
    </row>
    <row r="89" spans="1:54">
      <c r="A89" s="423">
        <f t="shared" si="13"/>
        <v>86</v>
      </c>
      <c r="B89" s="535" t="s">
        <v>780</v>
      </c>
      <c r="C89" s="624">
        <v>43159</v>
      </c>
      <c r="D89" s="601"/>
      <c r="E89" s="601"/>
      <c r="F89" s="601"/>
      <c r="G89" s="601"/>
      <c r="H89" s="601"/>
      <c r="I89" s="601"/>
      <c r="J89" s="601"/>
      <c r="K89" s="601"/>
      <c r="L89" s="601"/>
      <c r="M89" s="601"/>
      <c r="N89" s="601"/>
      <c r="O89" s="601"/>
      <c r="P89" s="602"/>
      <c r="Q89" s="602"/>
      <c r="R89" s="602"/>
      <c r="S89" s="602"/>
      <c r="T89" s="602"/>
      <c r="U89" s="602"/>
      <c r="V89" s="602"/>
      <c r="W89" s="603"/>
      <c r="X89" s="602"/>
      <c r="Y89" s="602"/>
      <c r="Z89" s="602"/>
      <c r="AA89" s="602"/>
      <c r="AB89" s="683"/>
      <c r="AC89" s="683"/>
      <c r="AD89" s="683"/>
      <c r="AE89" s="683"/>
      <c r="AF89" s="683"/>
      <c r="AG89" s="683"/>
      <c r="AH89" s="683"/>
      <c r="AI89" s="684"/>
      <c r="AJ89" s="683"/>
      <c r="AK89" s="683">
        <v>2</v>
      </c>
      <c r="AL89" s="832"/>
      <c r="AM89" s="683"/>
      <c r="AN89" s="834"/>
      <c r="AO89" s="833"/>
      <c r="AP89" s="833"/>
      <c r="AQ89" s="833"/>
      <c r="AR89" s="833"/>
      <c r="AS89" s="833"/>
      <c r="AT89" s="833"/>
      <c r="AU89" s="833"/>
      <c r="AV89" s="833"/>
      <c r="AW89" s="848"/>
      <c r="AX89" s="423"/>
      <c r="AZ89" s="537">
        <f>SUM(AI89:AM89)</f>
        <v>2</v>
      </c>
      <c r="BA89" s="537">
        <f t="shared" si="14"/>
        <v>0</v>
      </c>
      <c r="BB89" s="196" t="str">
        <f t="shared" ca="1" si="12"/>
        <v>1nam,6thang,21ngay.</v>
      </c>
    </row>
    <row r="90" spans="1:54">
      <c r="A90" s="423">
        <f t="shared" si="13"/>
        <v>87</v>
      </c>
      <c r="B90" s="535" t="s">
        <v>781</v>
      </c>
      <c r="C90" s="624">
        <v>43159</v>
      </c>
      <c r="D90" s="601"/>
      <c r="E90" s="601"/>
      <c r="F90" s="601"/>
      <c r="G90" s="601"/>
      <c r="H90" s="601"/>
      <c r="I90" s="601"/>
      <c r="J90" s="601"/>
      <c r="K90" s="601"/>
      <c r="L90" s="601"/>
      <c r="M90" s="601"/>
      <c r="N90" s="601"/>
      <c r="O90" s="601"/>
      <c r="P90" s="602"/>
      <c r="Q90" s="602"/>
      <c r="R90" s="602"/>
      <c r="S90" s="602"/>
      <c r="T90" s="602"/>
      <c r="U90" s="602"/>
      <c r="V90" s="602"/>
      <c r="W90" s="603"/>
      <c r="X90" s="602"/>
      <c r="Y90" s="602"/>
      <c r="Z90" s="602"/>
      <c r="AA90" s="602"/>
      <c r="AB90" s="683"/>
      <c r="AC90" s="683"/>
      <c r="AD90" s="683"/>
      <c r="AE90" s="683"/>
      <c r="AF90" s="683"/>
      <c r="AG90" s="683"/>
      <c r="AH90" s="683"/>
      <c r="AI90" s="684"/>
      <c r="AJ90" s="683"/>
      <c r="AK90" s="683"/>
      <c r="AL90" s="832">
        <v>1</v>
      </c>
      <c r="AM90" s="683">
        <v>1</v>
      </c>
      <c r="AN90" s="834">
        <v>1</v>
      </c>
      <c r="AO90" s="833"/>
      <c r="AP90" s="833">
        <v>1</v>
      </c>
      <c r="AQ90" s="833"/>
      <c r="AR90" s="833">
        <v>1</v>
      </c>
      <c r="AS90" s="833">
        <v>1</v>
      </c>
      <c r="AT90" s="833">
        <v>1</v>
      </c>
      <c r="AU90" s="833"/>
      <c r="AV90" s="833"/>
      <c r="AW90" s="848"/>
      <c r="AX90" s="423"/>
      <c r="AZ90" s="537">
        <f>SUM(AI90:AP90)</f>
        <v>4</v>
      </c>
      <c r="BA90" s="537">
        <f t="shared" si="14"/>
        <v>5</v>
      </c>
      <c r="BB90" s="196" t="str">
        <f t="shared" ca="1" si="12"/>
        <v>1nam,6thang,21ngay.</v>
      </c>
    </row>
    <row r="91" spans="1:54">
      <c r="A91" s="423">
        <f t="shared" si="13"/>
        <v>88</v>
      </c>
      <c r="B91" s="535" t="s">
        <v>782</v>
      </c>
      <c r="C91" s="624">
        <v>43213</v>
      </c>
      <c r="D91" s="601"/>
      <c r="E91" s="601"/>
      <c r="F91" s="601"/>
      <c r="G91" s="601"/>
      <c r="H91" s="601"/>
      <c r="I91" s="601"/>
      <c r="J91" s="601"/>
      <c r="K91" s="601"/>
      <c r="L91" s="601"/>
      <c r="M91" s="601"/>
      <c r="N91" s="601"/>
      <c r="O91" s="601"/>
      <c r="P91" s="602"/>
      <c r="Q91" s="602"/>
      <c r="R91" s="602"/>
      <c r="S91" s="602"/>
      <c r="T91" s="602"/>
      <c r="U91" s="602"/>
      <c r="V91" s="602"/>
      <c r="W91" s="603"/>
      <c r="X91" s="602"/>
      <c r="Y91" s="602"/>
      <c r="Z91" s="602"/>
      <c r="AA91" s="602"/>
      <c r="AB91" s="683"/>
      <c r="AC91" s="683"/>
      <c r="AD91" s="683"/>
      <c r="AE91" s="683"/>
      <c r="AF91" s="683"/>
      <c r="AG91" s="683"/>
      <c r="AH91" s="683"/>
      <c r="AI91" s="684"/>
      <c r="AJ91" s="683"/>
      <c r="AK91" s="683"/>
      <c r="AL91" s="832"/>
      <c r="AM91" s="683"/>
      <c r="AN91" s="834"/>
      <c r="AO91" s="833"/>
      <c r="AP91" s="833"/>
      <c r="AQ91" s="833"/>
      <c r="AR91" s="833"/>
      <c r="AS91" s="833">
        <v>1</v>
      </c>
      <c r="AT91" s="833"/>
      <c r="AU91" s="833"/>
      <c r="AV91" s="833"/>
      <c r="AW91" s="848"/>
      <c r="AX91" s="423"/>
      <c r="AZ91" s="537">
        <f>SUM(AI91:AM91)</f>
        <v>0</v>
      </c>
      <c r="BA91" s="537">
        <f t="shared" si="14"/>
        <v>1</v>
      </c>
      <c r="BB91" s="196" t="str">
        <f t="shared" ca="1" si="12"/>
        <v>1nam,4thang,26ngay.</v>
      </c>
    </row>
    <row r="92" spans="1:54">
      <c r="A92" s="423">
        <f t="shared" si="13"/>
        <v>89</v>
      </c>
      <c r="B92" s="535" t="s">
        <v>783</v>
      </c>
      <c r="C92" s="624">
        <v>43213</v>
      </c>
      <c r="D92" s="601"/>
      <c r="E92" s="601"/>
      <c r="F92" s="601"/>
      <c r="G92" s="601"/>
      <c r="H92" s="601"/>
      <c r="I92" s="601"/>
      <c r="J92" s="601"/>
      <c r="K92" s="601"/>
      <c r="L92" s="601"/>
      <c r="M92" s="601"/>
      <c r="N92" s="601"/>
      <c r="O92" s="601"/>
      <c r="P92" s="602"/>
      <c r="Q92" s="602"/>
      <c r="R92" s="602"/>
      <c r="S92" s="602"/>
      <c r="T92" s="602"/>
      <c r="U92" s="602"/>
      <c r="V92" s="602"/>
      <c r="W92" s="603"/>
      <c r="X92" s="602"/>
      <c r="Y92" s="602"/>
      <c r="Z92" s="602"/>
      <c r="AA92" s="602"/>
      <c r="AB92" s="683"/>
      <c r="AC92" s="683"/>
      <c r="AD92" s="683"/>
      <c r="AE92" s="683"/>
      <c r="AF92" s="683"/>
      <c r="AG92" s="683"/>
      <c r="AH92" s="683"/>
      <c r="AI92" s="684">
        <v>4</v>
      </c>
      <c r="AJ92" s="683"/>
      <c r="AK92" s="683">
        <v>2</v>
      </c>
      <c r="AL92" s="832"/>
      <c r="AM92" s="683">
        <v>2</v>
      </c>
      <c r="AN92" s="834">
        <v>1</v>
      </c>
      <c r="AO92" s="833"/>
      <c r="AP92" s="833">
        <v>2</v>
      </c>
      <c r="AQ92" s="833">
        <v>1</v>
      </c>
      <c r="AR92" s="833"/>
      <c r="AS92" s="833"/>
      <c r="AT92" s="833">
        <v>1</v>
      </c>
      <c r="AU92" s="833"/>
      <c r="AV92" s="833"/>
      <c r="AW92" s="848"/>
      <c r="AX92" s="423"/>
      <c r="AZ92" s="537">
        <f>SUM(AI92:AQ92)</f>
        <v>12</v>
      </c>
      <c r="BA92" s="537">
        <f t="shared" si="14"/>
        <v>5</v>
      </c>
      <c r="BB92" s="196" t="str">
        <f t="shared" ca="1" si="12"/>
        <v>1nam,4thang,26ngay.</v>
      </c>
    </row>
    <row r="93" spans="1:54">
      <c r="A93" s="423">
        <f t="shared" si="13"/>
        <v>90</v>
      </c>
      <c r="B93" s="535" t="s">
        <v>786</v>
      </c>
      <c r="C93" s="624">
        <v>43230</v>
      </c>
      <c r="D93" s="742"/>
      <c r="E93" s="742"/>
      <c r="F93" s="742"/>
      <c r="G93" s="742"/>
      <c r="H93" s="742"/>
      <c r="I93" s="742"/>
      <c r="J93" s="742"/>
      <c r="K93" s="742"/>
      <c r="L93" s="742"/>
      <c r="M93" s="742"/>
      <c r="N93" s="742"/>
      <c r="O93" s="742"/>
      <c r="P93" s="602"/>
      <c r="Q93" s="602"/>
      <c r="R93" s="602"/>
      <c r="S93" s="602"/>
      <c r="T93" s="602"/>
      <c r="U93" s="602"/>
      <c r="V93" s="602"/>
      <c r="W93" s="603"/>
      <c r="X93" s="602"/>
      <c r="Y93" s="602"/>
      <c r="Z93" s="602"/>
      <c r="AA93" s="602"/>
      <c r="AB93" s="683"/>
      <c r="AC93" s="683"/>
      <c r="AD93" s="683"/>
      <c r="AE93" s="683"/>
      <c r="AF93" s="683"/>
      <c r="AG93" s="683"/>
      <c r="AH93" s="683"/>
      <c r="AI93" s="684"/>
      <c r="AJ93" s="683"/>
      <c r="AK93" s="683">
        <v>1</v>
      </c>
      <c r="AL93" s="832"/>
      <c r="AM93" s="683">
        <v>1</v>
      </c>
      <c r="AN93" s="834"/>
      <c r="AO93" s="833"/>
      <c r="AP93" s="833"/>
      <c r="AQ93" s="833"/>
      <c r="AR93" s="833">
        <v>1</v>
      </c>
      <c r="AS93" s="833">
        <v>2</v>
      </c>
      <c r="AT93" s="833">
        <v>2</v>
      </c>
      <c r="AU93" s="833"/>
      <c r="AV93" s="833"/>
      <c r="AW93" s="848"/>
      <c r="AX93" s="423"/>
      <c r="AZ93" s="537">
        <f>SUM(AI93:AM93)</f>
        <v>2</v>
      </c>
      <c r="BA93" s="537">
        <f t="shared" si="14"/>
        <v>5</v>
      </c>
      <c r="BB93" s="196" t="str">
        <f t="shared" ca="1" si="12"/>
        <v>1nam,4thang,8ngay.</v>
      </c>
    </row>
    <row r="94" spans="1:54">
      <c r="A94" s="423">
        <f t="shared" si="13"/>
        <v>91</v>
      </c>
      <c r="B94" s="535" t="s">
        <v>785</v>
      </c>
      <c r="C94" s="624">
        <v>43232</v>
      </c>
      <c r="D94" s="601"/>
      <c r="E94" s="601"/>
      <c r="F94" s="601"/>
      <c r="G94" s="601"/>
      <c r="H94" s="601"/>
      <c r="I94" s="601"/>
      <c r="J94" s="601"/>
      <c r="K94" s="601"/>
      <c r="L94" s="601"/>
      <c r="M94" s="601"/>
      <c r="N94" s="601"/>
      <c r="O94" s="601"/>
      <c r="P94" s="602"/>
      <c r="Q94" s="602"/>
      <c r="R94" s="602"/>
      <c r="S94" s="602"/>
      <c r="T94" s="602"/>
      <c r="U94" s="602"/>
      <c r="V94" s="602"/>
      <c r="W94" s="603"/>
      <c r="X94" s="602"/>
      <c r="Y94" s="602"/>
      <c r="Z94" s="602"/>
      <c r="AA94" s="602"/>
      <c r="AB94" s="683"/>
      <c r="AC94" s="683"/>
      <c r="AD94" s="683"/>
      <c r="AE94" s="683"/>
      <c r="AF94" s="683"/>
      <c r="AG94" s="683"/>
      <c r="AH94" s="683"/>
      <c r="AI94" s="684"/>
      <c r="AJ94" s="683"/>
      <c r="AK94" s="683">
        <v>4</v>
      </c>
      <c r="AL94" s="832"/>
      <c r="AM94" s="683">
        <v>3</v>
      </c>
      <c r="AN94" s="834"/>
      <c r="AO94" s="833">
        <v>3</v>
      </c>
      <c r="AP94" s="833"/>
      <c r="AQ94" s="833">
        <v>2</v>
      </c>
      <c r="AR94" s="833"/>
      <c r="AS94" s="833"/>
      <c r="AT94" s="833">
        <v>1</v>
      </c>
      <c r="AU94" s="833"/>
      <c r="AV94" s="833"/>
      <c r="AW94" s="848"/>
      <c r="AX94" s="423"/>
      <c r="AZ94" s="537">
        <f>SUM(AI94:AM94)</f>
        <v>7</v>
      </c>
      <c r="BA94" s="537">
        <f t="shared" si="14"/>
        <v>6</v>
      </c>
      <c r="BB94" s="196" t="str">
        <f t="shared" ca="1" si="12"/>
        <v>1nam,4thang,6ngay.</v>
      </c>
    </row>
    <row r="95" spans="1:54">
      <c r="A95" s="423">
        <f t="shared" si="13"/>
        <v>92</v>
      </c>
      <c r="B95" s="535" t="s">
        <v>784</v>
      </c>
      <c r="C95" s="624">
        <v>43232</v>
      </c>
      <c r="D95" s="601"/>
      <c r="E95" s="601"/>
      <c r="F95" s="601"/>
      <c r="G95" s="601"/>
      <c r="H95" s="601"/>
      <c r="I95" s="601"/>
      <c r="J95" s="601"/>
      <c r="K95" s="601"/>
      <c r="L95" s="601"/>
      <c r="M95" s="601"/>
      <c r="N95" s="601"/>
      <c r="O95" s="601"/>
      <c r="P95" s="602"/>
      <c r="Q95" s="602"/>
      <c r="R95" s="602"/>
      <c r="S95" s="602"/>
      <c r="T95" s="602"/>
      <c r="U95" s="602"/>
      <c r="V95" s="602"/>
      <c r="W95" s="603"/>
      <c r="X95" s="602"/>
      <c r="Y95" s="602"/>
      <c r="Z95" s="602"/>
      <c r="AA95" s="602"/>
      <c r="AB95" s="683"/>
      <c r="AC95" s="683"/>
      <c r="AD95" s="683"/>
      <c r="AE95" s="683"/>
      <c r="AF95" s="683"/>
      <c r="AG95" s="683"/>
      <c r="AH95" s="683"/>
      <c r="AI95" s="684"/>
      <c r="AJ95" s="683">
        <v>1</v>
      </c>
      <c r="AK95" s="683">
        <v>2</v>
      </c>
      <c r="AL95" s="832">
        <v>2</v>
      </c>
      <c r="AM95" s="683">
        <v>3</v>
      </c>
      <c r="AN95" s="834">
        <v>2</v>
      </c>
      <c r="AO95" s="833"/>
      <c r="AP95" s="833">
        <v>3</v>
      </c>
      <c r="AQ95" s="833"/>
      <c r="AR95" s="833"/>
      <c r="AS95" s="833"/>
      <c r="AT95" s="833">
        <v>1</v>
      </c>
      <c r="AU95" s="833"/>
      <c r="AV95" s="833"/>
      <c r="AW95" s="848"/>
      <c r="AX95" s="423"/>
      <c r="AZ95" s="537">
        <f>SUM(AI95:AQ95)</f>
        <v>13</v>
      </c>
      <c r="BA95" s="537">
        <f t="shared" si="14"/>
        <v>6</v>
      </c>
      <c r="BB95" s="196" t="str">
        <f t="shared" ca="1" si="12"/>
        <v>1nam,4thang,6ngay.</v>
      </c>
    </row>
    <row r="96" spans="1:54">
      <c r="A96" s="423">
        <f t="shared" si="13"/>
        <v>93</v>
      </c>
      <c r="B96" s="535" t="s">
        <v>788</v>
      </c>
      <c r="C96" s="624">
        <v>43248</v>
      </c>
      <c r="D96" s="827"/>
      <c r="E96" s="827"/>
      <c r="F96" s="827"/>
      <c r="G96" s="827"/>
      <c r="H96" s="827"/>
      <c r="I96" s="827"/>
      <c r="J96" s="827"/>
      <c r="K96" s="827"/>
      <c r="L96" s="827"/>
      <c r="M96" s="827"/>
      <c r="N96" s="827"/>
      <c r="O96" s="827"/>
      <c r="P96" s="602"/>
      <c r="Q96" s="602"/>
      <c r="R96" s="602"/>
      <c r="S96" s="602"/>
      <c r="T96" s="602"/>
      <c r="U96" s="602"/>
      <c r="V96" s="602"/>
      <c r="W96" s="603"/>
      <c r="X96" s="602"/>
      <c r="Y96" s="602"/>
      <c r="Z96" s="602"/>
      <c r="AA96" s="602"/>
      <c r="AB96" s="602"/>
      <c r="AC96" s="602"/>
      <c r="AD96" s="602"/>
      <c r="AE96" s="602"/>
      <c r="AF96" s="602"/>
      <c r="AG96" s="602"/>
      <c r="AH96" s="602"/>
      <c r="AI96" s="603"/>
      <c r="AJ96" s="602"/>
      <c r="AK96" s="683">
        <v>1</v>
      </c>
      <c r="AL96" s="832">
        <v>1</v>
      </c>
      <c r="AM96" s="683"/>
      <c r="AN96" s="834"/>
      <c r="AO96" s="833">
        <v>1</v>
      </c>
      <c r="AP96" s="833">
        <v>1</v>
      </c>
      <c r="AQ96" s="833">
        <v>2</v>
      </c>
      <c r="AR96" s="833">
        <v>1</v>
      </c>
      <c r="AS96" s="833">
        <v>1</v>
      </c>
      <c r="AT96" s="833"/>
      <c r="AU96" s="833">
        <v>3</v>
      </c>
      <c r="AV96" s="833"/>
      <c r="AW96" s="848"/>
      <c r="AX96" s="423"/>
      <c r="AZ96" s="537">
        <f>SUM(AI96:AS96)</f>
        <v>8</v>
      </c>
      <c r="BA96" s="537">
        <f t="shared" si="14"/>
        <v>9</v>
      </c>
      <c r="BB96" s="196" t="str">
        <f t="shared" ca="1" si="12"/>
        <v>1nam,3thang,21ngay.</v>
      </c>
    </row>
    <row r="97" spans="1:54">
      <c r="A97" s="423">
        <f t="shared" si="13"/>
        <v>94</v>
      </c>
      <c r="B97" s="535" t="s">
        <v>42</v>
      </c>
      <c r="C97" s="624">
        <v>43246</v>
      </c>
      <c r="D97" s="827"/>
      <c r="E97" s="827"/>
      <c r="F97" s="827"/>
      <c r="G97" s="827"/>
      <c r="H97" s="827"/>
      <c r="I97" s="827"/>
      <c r="J97" s="827"/>
      <c r="K97" s="827"/>
      <c r="L97" s="827"/>
      <c r="M97" s="827"/>
      <c r="N97" s="827"/>
      <c r="O97" s="827"/>
      <c r="P97" s="602"/>
      <c r="Q97" s="602"/>
      <c r="R97" s="602"/>
      <c r="S97" s="602"/>
      <c r="T97" s="602"/>
      <c r="U97" s="602"/>
      <c r="V97" s="602"/>
      <c r="W97" s="603"/>
      <c r="X97" s="602"/>
      <c r="Y97" s="602"/>
      <c r="Z97" s="602"/>
      <c r="AA97" s="602"/>
      <c r="AB97" s="602"/>
      <c r="AC97" s="602"/>
      <c r="AD97" s="602"/>
      <c r="AE97" s="602"/>
      <c r="AF97" s="602"/>
      <c r="AG97" s="602"/>
      <c r="AH97" s="602"/>
      <c r="AI97" s="603"/>
      <c r="AJ97" s="602"/>
      <c r="AK97" s="683">
        <v>1</v>
      </c>
      <c r="AL97" s="832"/>
      <c r="AM97" s="683"/>
      <c r="AN97" s="834"/>
      <c r="AO97" s="833"/>
      <c r="AP97" s="833"/>
      <c r="AQ97" s="833"/>
      <c r="AR97" s="833"/>
      <c r="AS97" s="833"/>
      <c r="AT97" s="833"/>
      <c r="AU97" s="833"/>
      <c r="AV97" s="833"/>
      <c r="AW97" s="848"/>
      <c r="AX97" s="423"/>
      <c r="AZ97" s="537">
        <f>SUM(AI97:AM97)</f>
        <v>1</v>
      </c>
      <c r="BA97" s="537">
        <f t="shared" si="14"/>
        <v>0</v>
      </c>
      <c r="BB97" s="196" t="str">
        <f t="shared" ca="1" si="12"/>
        <v>1nam,3thang,23ngay.</v>
      </c>
    </row>
    <row r="98" spans="1:54">
      <c r="A98" s="423">
        <f t="shared" si="13"/>
        <v>95</v>
      </c>
      <c r="B98" s="535" t="s">
        <v>789</v>
      </c>
      <c r="C98" s="886">
        <v>43248</v>
      </c>
      <c r="D98" s="827"/>
      <c r="E98" s="827"/>
      <c r="F98" s="827"/>
      <c r="G98" s="827"/>
      <c r="H98" s="827"/>
      <c r="I98" s="827"/>
      <c r="J98" s="827"/>
      <c r="K98" s="827"/>
      <c r="L98" s="827"/>
      <c r="M98" s="827"/>
      <c r="N98" s="827"/>
      <c r="O98" s="827"/>
      <c r="P98" s="602"/>
      <c r="Q98" s="602"/>
      <c r="R98" s="602"/>
      <c r="S98" s="602"/>
      <c r="T98" s="602"/>
      <c r="U98" s="602"/>
      <c r="V98" s="602"/>
      <c r="W98" s="603"/>
      <c r="X98" s="602"/>
      <c r="Y98" s="602"/>
      <c r="Z98" s="602"/>
      <c r="AA98" s="602"/>
      <c r="AB98" s="602"/>
      <c r="AC98" s="602"/>
      <c r="AD98" s="602"/>
      <c r="AE98" s="602"/>
      <c r="AF98" s="602"/>
      <c r="AG98" s="602"/>
      <c r="AH98" s="602"/>
      <c r="AI98" s="603"/>
      <c r="AJ98" s="602"/>
      <c r="AK98" s="683">
        <v>1</v>
      </c>
      <c r="AL98" s="832">
        <v>1</v>
      </c>
      <c r="AM98" s="683">
        <v>5</v>
      </c>
      <c r="AN98" s="834">
        <v>3</v>
      </c>
      <c r="AO98" s="833">
        <v>1</v>
      </c>
      <c r="AP98" s="833">
        <v>3</v>
      </c>
      <c r="AQ98" s="833"/>
      <c r="AR98" s="833"/>
      <c r="AS98" s="833"/>
      <c r="AT98" s="833">
        <v>1</v>
      </c>
      <c r="AU98" s="833">
        <v>1</v>
      </c>
      <c r="AV98" s="833"/>
      <c r="AW98" s="848"/>
      <c r="AX98" s="423"/>
      <c r="AZ98" s="537">
        <f>SUM(AI98:AO98)</f>
        <v>11</v>
      </c>
      <c r="BA98" s="537">
        <f t="shared" si="14"/>
        <v>9</v>
      </c>
      <c r="BB98" s="196" t="str">
        <f t="shared" ref="BB98:BB109" ca="1" si="17">DATEDIF(C98,$BC$1,"Y")&amp;"nam,"&amp;DATEDIF(C98,$BC$1,"YM")&amp;"thang,"&amp;DATEDIF(C98,$BC$1,"MD")&amp;"ngay."</f>
        <v>1nam,3thang,21ngay.</v>
      </c>
    </row>
    <row r="99" spans="1:54">
      <c r="A99" s="423">
        <f t="shared" si="13"/>
        <v>96</v>
      </c>
      <c r="B99" s="535" t="s">
        <v>832</v>
      </c>
      <c r="C99" s="624">
        <v>43413</v>
      </c>
      <c r="D99" s="885"/>
      <c r="E99" s="865"/>
      <c r="F99" s="865"/>
      <c r="G99" s="865"/>
      <c r="H99" s="865"/>
      <c r="I99" s="865"/>
      <c r="J99" s="865"/>
      <c r="K99" s="865"/>
      <c r="L99" s="865"/>
      <c r="M99" s="865"/>
      <c r="N99" s="865"/>
      <c r="O99" s="865"/>
      <c r="P99" s="602"/>
      <c r="Q99" s="602"/>
      <c r="R99" s="602"/>
      <c r="S99" s="602"/>
      <c r="T99" s="602"/>
      <c r="U99" s="602"/>
      <c r="V99" s="602"/>
      <c r="W99" s="603"/>
      <c r="X99" s="602"/>
      <c r="Y99" s="602"/>
      <c r="Z99" s="602"/>
      <c r="AA99" s="602"/>
      <c r="AB99" s="602"/>
      <c r="AC99" s="602"/>
      <c r="AD99" s="602"/>
      <c r="AE99" s="602"/>
      <c r="AF99" s="602"/>
      <c r="AG99" s="602"/>
      <c r="AH99" s="602"/>
      <c r="AI99" s="603"/>
      <c r="AJ99" s="602"/>
      <c r="AK99" s="683"/>
      <c r="AL99" s="864"/>
      <c r="AM99" s="683"/>
      <c r="AN99" s="834"/>
      <c r="AO99" s="833"/>
      <c r="AP99" s="833">
        <v>1</v>
      </c>
      <c r="AQ99" s="833"/>
      <c r="AR99" s="833">
        <v>3</v>
      </c>
      <c r="AS99" s="833">
        <v>2</v>
      </c>
      <c r="AT99" s="833"/>
      <c r="AU99" s="833"/>
      <c r="AV99" s="833"/>
      <c r="AW99" s="848"/>
      <c r="AX99" s="423"/>
      <c r="AZ99" s="423"/>
      <c r="BA99" s="537">
        <f t="shared" si="14"/>
        <v>6</v>
      </c>
      <c r="BB99" s="196" t="str">
        <f t="shared" ca="1" si="17"/>
        <v>0nam,10thang,9ngay.</v>
      </c>
    </row>
    <row r="100" spans="1:54">
      <c r="A100" s="423">
        <f t="shared" si="13"/>
        <v>97</v>
      </c>
      <c r="B100" s="535" t="s">
        <v>833</v>
      </c>
      <c r="C100" s="624">
        <v>42390</v>
      </c>
      <c r="AN100" s="834"/>
      <c r="AO100" s="833"/>
      <c r="AP100" s="833">
        <v>1</v>
      </c>
      <c r="AQ100" s="833">
        <v>1</v>
      </c>
      <c r="AR100" s="833">
        <v>3</v>
      </c>
      <c r="AS100" s="833">
        <v>1</v>
      </c>
      <c r="AT100" s="833"/>
      <c r="AU100" s="833"/>
      <c r="AV100" s="833"/>
      <c r="AW100" s="848"/>
      <c r="AX100" s="423"/>
      <c r="AZ100" s="423"/>
      <c r="BA100" s="537">
        <f t="shared" si="14"/>
        <v>6</v>
      </c>
      <c r="BB100" s="196" t="str">
        <f t="shared" ca="1" si="17"/>
        <v>3nam,7thang,28ngay.</v>
      </c>
    </row>
    <row r="101" spans="1:54">
      <c r="A101" s="423">
        <f t="shared" si="13"/>
        <v>98</v>
      </c>
      <c r="B101" s="535" t="s">
        <v>834</v>
      </c>
      <c r="C101" s="624">
        <v>43427</v>
      </c>
      <c r="AN101" s="834"/>
      <c r="AO101" s="833"/>
      <c r="AP101" s="833">
        <v>1</v>
      </c>
      <c r="AQ101" s="833"/>
      <c r="AR101" s="833">
        <v>1</v>
      </c>
      <c r="AS101" s="833">
        <v>1</v>
      </c>
      <c r="AT101" s="833">
        <v>1</v>
      </c>
      <c r="AU101" s="833"/>
      <c r="AV101" s="833"/>
      <c r="AW101" s="848"/>
      <c r="AX101" s="423"/>
      <c r="AZ101" s="423"/>
      <c r="BA101" s="537">
        <f t="shared" si="14"/>
        <v>4</v>
      </c>
      <c r="BB101" s="196" t="str">
        <f t="shared" ca="1" si="17"/>
        <v>0nam,9thang,26ngay.</v>
      </c>
    </row>
    <row r="102" spans="1:54">
      <c r="A102" s="423">
        <f t="shared" si="13"/>
        <v>99</v>
      </c>
      <c r="B102" s="535" t="s">
        <v>835</v>
      </c>
      <c r="C102" s="624">
        <v>43418</v>
      </c>
      <c r="AN102" s="834"/>
      <c r="AO102" s="833"/>
      <c r="AP102" s="833">
        <v>1</v>
      </c>
      <c r="AQ102" s="833"/>
      <c r="AR102" s="833">
        <v>2</v>
      </c>
      <c r="AS102" s="833">
        <v>1</v>
      </c>
      <c r="AT102" s="833">
        <v>4</v>
      </c>
      <c r="AU102" s="833"/>
      <c r="AV102" s="833"/>
      <c r="AW102" s="848"/>
      <c r="AX102" s="423"/>
      <c r="AZ102" s="423"/>
      <c r="BA102" s="537">
        <f t="shared" si="14"/>
        <v>8</v>
      </c>
      <c r="BB102" s="196" t="str">
        <f t="shared" ca="1" si="17"/>
        <v>0nam,10thang,4ngay.</v>
      </c>
    </row>
    <row r="103" spans="1:54">
      <c r="A103" s="423">
        <f t="shared" si="13"/>
        <v>100</v>
      </c>
      <c r="B103" s="535" t="s">
        <v>821</v>
      </c>
      <c r="C103" s="624">
        <v>43453</v>
      </c>
      <c r="AN103" s="834"/>
      <c r="AO103" s="833"/>
      <c r="AP103" s="833">
        <v>1</v>
      </c>
      <c r="AQ103" s="833"/>
      <c r="AR103" s="833"/>
      <c r="AS103" s="833"/>
      <c r="AT103" s="833"/>
      <c r="AU103" s="833"/>
      <c r="AV103" s="833"/>
      <c r="AW103" s="848"/>
      <c r="AX103" s="423"/>
      <c r="AZ103" s="423"/>
      <c r="BA103" s="537">
        <f t="shared" si="14"/>
        <v>1</v>
      </c>
      <c r="BB103" s="196" t="str">
        <f t="shared" ca="1" si="17"/>
        <v>0nam,8thang,30ngay.</v>
      </c>
    </row>
    <row r="104" spans="1:54">
      <c r="A104" s="423">
        <f t="shared" si="13"/>
        <v>101</v>
      </c>
      <c r="B104" s="535" t="s">
        <v>868</v>
      </c>
      <c r="C104" s="624">
        <v>43430</v>
      </c>
      <c r="AN104" s="834"/>
      <c r="AO104" s="833"/>
      <c r="AP104" s="833"/>
      <c r="AQ104" s="833">
        <v>2</v>
      </c>
      <c r="AR104" s="833"/>
      <c r="AS104" s="833">
        <v>1</v>
      </c>
      <c r="AT104" s="833"/>
      <c r="AU104" s="833"/>
      <c r="AV104" s="833"/>
      <c r="AW104" s="848"/>
      <c r="AX104" s="423"/>
      <c r="AZ104" s="423"/>
      <c r="BA104" s="537">
        <f t="shared" si="14"/>
        <v>3</v>
      </c>
      <c r="BB104" s="196" t="str">
        <f t="shared" ca="1" si="17"/>
        <v>0nam,9thang,23ngay.</v>
      </c>
    </row>
    <row r="105" spans="1:54">
      <c r="A105" s="423">
        <f t="shared" si="13"/>
        <v>102</v>
      </c>
      <c r="B105" s="535" t="s">
        <v>869</v>
      </c>
      <c r="C105" s="624">
        <v>43413</v>
      </c>
      <c r="AN105" s="834"/>
      <c r="AO105" s="833"/>
      <c r="AP105" s="833"/>
      <c r="AQ105" s="833">
        <v>3</v>
      </c>
      <c r="AR105" s="833"/>
      <c r="AS105" s="833">
        <v>2</v>
      </c>
      <c r="AT105" s="833">
        <v>2</v>
      </c>
      <c r="AU105" s="833">
        <v>1</v>
      </c>
      <c r="AV105" s="833"/>
      <c r="AW105" s="848"/>
      <c r="AX105" s="423"/>
      <c r="AZ105" s="423"/>
      <c r="BA105" s="537">
        <f t="shared" si="14"/>
        <v>8</v>
      </c>
      <c r="BB105" s="196" t="str">
        <f t="shared" ca="1" si="17"/>
        <v>0nam,10thang,9ngay.</v>
      </c>
    </row>
    <row r="106" spans="1:54">
      <c r="A106" s="423">
        <f t="shared" si="13"/>
        <v>103</v>
      </c>
      <c r="B106" s="535" t="s">
        <v>870</v>
      </c>
      <c r="C106" s="624">
        <v>43522</v>
      </c>
      <c r="AN106" s="834"/>
      <c r="AO106" s="833"/>
      <c r="AP106" s="833"/>
      <c r="AQ106" s="833">
        <v>1</v>
      </c>
      <c r="AR106" s="833">
        <v>2</v>
      </c>
      <c r="AS106" s="833">
        <v>1</v>
      </c>
      <c r="AT106" s="833"/>
      <c r="AU106" s="833">
        <v>2</v>
      </c>
      <c r="AV106" s="833"/>
      <c r="AW106" s="848"/>
      <c r="AX106" s="423"/>
      <c r="AZ106" s="423"/>
      <c r="BA106" s="537">
        <f t="shared" si="14"/>
        <v>6</v>
      </c>
      <c r="BB106" s="196" t="str">
        <f t="shared" ca="1" si="17"/>
        <v>0nam,6thang,23ngay.</v>
      </c>
    </row>
    <row r="107" spans="1:54">
      <c r="A107" s="423">
        <f t="shared" si="13"/>
        <v>104</v>
      </c>
      <c r="B107" s="535" t="s">
        <v>831</v>
      </c>
      <c r="C107" s="624">
        <v>43523</v>
      </c>
      <c r="AN107" s="834"/>
      <c r="AO107" s="833"/>
      <c r="AP107" s="833"/>
      <c r="AQ107" s="833"/>
      <c r="AR107" s="833"/>
      <c r="AS107" s="833">
        <v>1</v>
      </c>
      <c r="AT107" s="833">
        <v>4</v>
      </c>
      <c r="AU107" s="833">
        <v>1</v>
      </c>
      <c r="AV107" s="833"/>
      <c r="AW107" s="848"/>
      <c r="AX107" s="423"/>
      <c r="AZ107" s="423"/>
      <c r="BA107" s="537">
        <f t="shared" si="14"/>
        <v>6</v>
      </c>
      <c r="BB107" s="196" t="str">
        <f t="shared" ca="1" si="17"/>
        <v>0nam,6thang,22ngay.</v>
      </c>
    </row>
    <row r="108" spans="1:54">
      <c r="A108" s="423"/>
      <c r="B108" s="535" t="s">
        <v>891</v>
      </c>
      <c r="C108" s="624">
        <v>43523</v>
      </c>
      <c r="AN108" s="834"/>
      <c r="AO108" s="833"/>
      <c r="AP108" s="833"/>
      <c r="AQ108" s="833"/>
      <c r="AR108" s="833"/>
      <c r="AS108" s="833">
        <v>4</v>
      </c>
      <c r="AT108" s="833"/>
      <c r="AU108" s="833"/>
      <c r="AV108" s="833"/>
      <c r="AW108" s="848"/>
      <c r="AX108" s="423"/>
      <c r="AZ108" s="423"/>
      <c r="BA108" s="537">
        <f t="shared" si="14"/>
        <v>4</v>
      </c>
      <c r="BB108" s="196" t="str">
        <f t="shared" ca="1" si="17"/>
        <v>0nam,6thang,22ngay.</v>
      </c>
    </row>
    <row r="109" spans="1:54">
      <c r="A109" s="423"/>
      <c r="B109" s="535" t="s">
        <v>892</v>
      </c>
      <c r="C109" s="624">
        <v>43474</v>
      </c>
      <c r="AN109" s="834"/>
      <c r="AO109" s="833"/>
      <c r="AP109" s="833"/>
      <c r="AQ109" s="833"/>
      <c r="AR109" s="833"/>
      <c r="AS109" s="833">
        <v>1</v>
      </c>
      <c r="AT109" s="833"/>
      <c r="AU109" s="833"/>
      <c r="AV109" s="833"/>
      <c r="AW109" s="848"/>
      <c r="AX109" s="423"/>
      <c r="AZ109" s="423"/>
      <c r="BA109" s="537">
        <f t="shared" si="14"/>
        <v>1</v>
      </c>
      <c r="BB109" s="196" t="str">
        <f t="shared" ca="1" si="17"/>
        <v>0nam,8thang,9ngay.</v>
      </c>
    </row>
    <row r="110" spans="1:54">
      <c r="B110" s="196" t="s">
        <v>914</v>
      </c>
      <c r="AN110" s="834"/>
      <c r="AO110" s="833"/>
      <c r="AP110" s="833"/>
      <c r="AQ110" s="833"/>
      <c r="AR110" s="833"/>
      <c r="AS110" s="833"/>
      <c r="AT110" s="833"/>
      <c r="AU110" s="833">
        <v>1</v>
      </c>
      <c r="AV110" s="833"/>
      <c r="AW110" s="848"/>
      <c r="AX110" s="423"/>
      <c r="AZ110" s="423"/>
      <c r="BA110" s="537">
        <f t="shared" ref="BA110" si="18">SUM(AN110:AU110)</f>
        <v>1</v>
      </c>
      <c r="BB110" s="196" t="str">
        <f t="shared" ref="BB110" ca="1" si="19">DATEDIF(C110,$BC$1,"Y")&amp;"nam,"&amp;DATEDIF(C110,$BC$1,"YM")&amp;"thang,"&amp;DATEDIF(C110,$BC$1,"MD")&amp;"ngay."</f>
        <v>119nam,8thang,18ngay.</v>
      </c>
    </row>
    <row r="111" spans="1:54">
      <c r="B111" s="196" t="s">
        <v>915</v>
      </c>
      <c r="C111" s="934">
        <v>43458</v>
      </c>
      <c r="AN111" s="834"/>
      <c r="AO111" s="833"/>
      <c r="AP111" s="833"/>
      <c r="AQ111" s="833"/>
      <c r="AR111" s="833"/>
      <c r="AS111" s="833"/>
      <c r="AT111" s="833"/>
      <c r="AU111" s="833">
        <v>6</v>
      </c>
      <c r="AV111" s="833"/>
      <c r="AW111" s="848"/>
      <c r="AX111" s="423"/>
      <c r="AZ111" s="423"/>
      <c r="BA111" s="537">
        <f t="shared" ref="BA111" si="20">SUM(AN111:AU111)</f>
        <v>6</v>
      </c>
      <c r="BB111" s="196" t="str">
        <f t="shared" ref="BB111" ca="1" si="21">DATEDIF(C111,$BC$1,"Y")&amp;"nam,"&amp;DATEDIF(C111,$BC$1,"YM")&amp;"thang,"&amp;DATEDIF(C111,$BC$1,"MD")&amp;"ngay."</f>
        <v>0nam,8thang,25ngay.</v>
      </c>
    </row>
  </sheetData>
  <mergeCells count="12">
    <mergeCell ref="BA2:BA3"/>
    <mergeCell ref="A1:O1"/>
    <mergeCell ref="A2:A3"/>
    <mergeCell ref="B2:B3"/>
    <mergeCell ref="C2:C3"/>
    <mergeCell ref="P2:AA2"/>
    <mergeCell ref="AZ2:AZ3"/>
    <mergeCell ref="AB2:AM2"/>
    <mergeCell ref="AY2:AY3"/>
    <mergeCell ref="AW2:AW3"/>
    <mergeCell ref="D2:O2"/>
    <mergeCell ref="AX2:AX3"/>
  </mergeCells>
  <pageMargins left="0.2" right="0" top="0.75" bottom="0.75" header="0.3" footer="0.3"/>
  <pageSetup paperSize="9" scale="86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CQ60"/>
  <sheetViews>
    <sheetView zoomScale="85" zoomScaleNormal="85" workbookViewId="0">
      <pane xSplit="4" ySplit="4" topLeftCell="AL8" activePane="bottomRight" state="frozen"/>
      <selection pane="topRight" activeCell="E1" sqref="E1"/>
      <selection pane="bottomLeft" activeCell="A5" sqref="A5"/>
      <selection pane="bottomRight" activeCell="AN6" sqref="AN6"/>
    </sheetView>
  </sheetViews>
  <sheetFormatPr defaultColWidth="9.109375" defaultRowHeight="13.8"/>
  <cols>
    <col min="1" max="1" width="4.6640625" style="426" customWidth="1"/>
    <col min="2" max="2" width="5.5546875" style="542" customWidth="1"/>
    <col min="3" max="3" width="17.109375" style="260" bestFit="1" customWidth="1"/>
    <col min="4" max="4" width="11.44140625" style="260" bestFit="1" customWidth="1"/>
    <col min="5" max="5" width="4.5546875" style="260" customWidth="1"/>
    <col min="6" max="6" width="4.5546875" style="531" customWidth="1"/>
    <col min="7" max="7" width="4" style="260" bestFit="1" customWidth="1"/>
    <col min="8" max="9" width="4.5546875" style="260" customWidth="1"/>
    <col min="10" max="10" width="4.44140625" style="260" customWidth="1"/>
    <col min="11" max="11" width="5" style="260" customWidth="1"/>
    <col min="12" max="12" width="5.44140625" style="260" customWidth="1"/>
    <col min="13" max="13" width="5" style="260" customWidth="1"/>
    <col min="14" max="14" width="4.5546875" style="260" customWidth="1"/>
    <col min="15" max="15" width="5" style="260" customWidth="1"/>
    <col min="16" max="22" width="4.5546875" style="260" customWidth="1"/>
    <col min="23" max="23" width="5" style="260" customWidth="1"/>
    <col min="24" max="28" width="4.5546875" style="260" customWidth="1"/>
    <col min="29" max="30" width="4.5546875" style="531" customWidth="1"/>
    <col min="31" max="34" width="4.5546875" style="260" customWidth="1"/>
    <col min="35" max="35" width="5.109375" style="260" customWidth="1"/>
    <col min="36" max="36" width="7.109375" style="260" customWidth="1"/>
    <col min="37" max="37" width="5.6640625" style="260" customWidth="1"/>
    <col min="38" max="38" width="7" style="260" customWidth="1"/>
    <col min="39" max="39" width="5.5546875" style="260" customWidth="1"/>
    <col min="40" max="40" width="5.109375" style="260" customWidth="1"/>
    <col min="41" max="41" width="4.6640625" style="426" customWidth="1"/>
    <col min="42" max="42" width="5" style="260" customWidth="1"/>
    <col min="43" max="43" width="4.6640625" style="260" customWidth="1"/>
    <col min="44" max="44" width="5.109375" style="260" customWidth="1"/>
    <col min="45" max="45" width="5.33203125" style="260" customWidth="1"/>
    <col min="46" max="46" width="4.6640625" style="260" customWidth="1"/>
    <col min="47" max="47" width="5.109375" style="260" customWidth="1"/>
    <col min="48" max="48" width="4.88671875" style="426" customWidth="1"/>
    <col min="49" max="50" width="4.6640625" style="426" customWidth="1"/>
    <col min="51" max="51" width="5.5546875" style="426" customWidth="1"/>
    <col min="52" max="53" width="4.6640625" style="426" customWidth="1"/>
    <col min="54" max="54" width="5.109375" style="426" customWidth="1"/>
    <col min="55" max="56" width="4.6640625" style="426" customWidth="1"/>
    <col min="57" max="57" width="5.33203125" style="260" customWidth="1"/>
    <col min="58" max="58" width="5.33203125" style="426" customWidth="1"/>
    <col min="59" max="59" width="5.6640625" style="426" customWidth="1"/>
    <col min="60" max="60" width="5.33203125" style="426" customWidth="1"/>
    <col min="61" max="61" width="5" style="260" customWidth="1"/>
    <col min="62" max="62" width="5" style="426" bestFit="1" customWidth="1"/>
    <col min="63" max="63" width="5.33203125" style="260" customWidth="1"/>
    <col min="64" max="64" width="5.44140625" style="260" customWidth="1"/>
    <col min="65" max="65" width="4.5546875" style="260" customWidth="1"/>
    <col min="66" max="66" width="5.109375" style="260" customWidth="1"/>
    <col min="67" max="67" width="5.33203125" style="260" customWidth="1"/>
    <col min="68" max="68" width="5" style="260" customWidth="1"/>
    <col min="69" max="69" width="5.6640625" style="426" customWidth="1"/>
    <col min="70" max="70" width="5.33203125" style="260" customWidth="1"/>
    <col min="71" max="71" width="8.88671875" style="260" customWidth="1"/>
    <col min="72" max="72" width="8.44140625" style="260" customWidth="1"/>
    <col min="73" max="73" width="7.109375" style="260" customWidth="1"/>
    <col min="74" max="74" width="10.44140625" style="260" hidden="1" customWidth="1"/>
    <col min="75" max="75" width="9.33203125" style="260" customWidth="1"/>
    <col min="76" max="76" width="7.88671875" style="260" customWidth="1"/>
    <col min="77" max="77" width="12" style="260" bestFit="1" customWidth="1"/>
    <col min="78" max="78" width="9.109375" style="260"/>
    <col min="79" max="80" width="12" style="260" bestFit="1" customWidth="1"/>
    <col min="81" max="16384" width="9.109375" style="260"/>
  </cols>
  <sheetData>
    <row r="1" spans="1:95" ht="24.75" customHeight="1">
      <c r="A1" s="1016" t="s">
        <v>917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1016"/>
      <c r="O1" s="1016"/>
      <c r="P1" s="1016"/>
      <c r="Q1" s="1016"/>
      <c r="R1" s="1016"/>
      <c r="S1" s="1016"/>
      <c r="T1" s="1016"/>
      <c r="U1" s="1016"/>
      <c r="V1" s="1016"/>
      <c r="W1" s="1016"/>
      <c r="X1" s="1016"/>
      <c r="Y1" s="1016"/>
      <c r="Z1" s="1016"/>
      <c r="AA1" s="1016"/>
      <c r="AB1" s="1016"/>
      <c r="AC1" s="1016"/>
      <c r="AD1" s="1016"/>
      <c r="AE1" s="1016"/>
      <c r="AF1" s="1016"/>
      <c r="AG1" s="1016"/>
      <c r="AH1" s="1016"/>
      <c r="AI1" s="1016"/>
      <c r="AJ1" s="1016"/>
      <c r="AK1" s="1016"/>
      <c r="AL1" s="1016"/>
      <c r="AM1" s="1016"/>
      <c r="AN1" s="1017" t="s">
        <v>918</v>
      </c>
      <c r="AO1" s="1018"/>
      <c r="AP1" s="1018"/>
      <c r="AQ1" s="1018"/>
      <c r="AR1" s="1018"/>
      <c r="AS1" s="1018"/>
      <c r="AT1" s="1018"/>
      <c r="AU1" s="1018"/>
      <c r="AV1" s="1018"/>
      <c r="AW1" s="1018"/>
      <c r="AX1" s="1018"/>
      <c r="AY1" s="1018"/>
      <c r="AZ1" s="1018"/>
      <c r="BA1" s="1018"/>
      <c r="BB1" s="1018"/>
      <c r="BC1" s="1018"/>
      <c r="BD1" s="1018"/>
      <c r="BE1" s="1018"/>
      <c r="BF1" s="1018"/>
      <c r="BG1" s="1018"/>
      <c r="BH1" s="1018"/>
      <c r="BI1" s="1018"/>
      <c r="BJ1" s="1018"/>
      <c r="BK1" s="1018"/>
      <c r="BL1" s="1018"/>
      <c r="BM1" s="1018"/>
      <c r="BN1" s="1018"/>
      <c r="BO1" s="1018"/>
      <c r="BP1" s="1018"/>
      <c r="BQ1" s="1018"/>
      <c r="BR1" s="1018"/>
      <c r="BS1" s="1018"/>
      <c r="BT1" s="1019"/>
      <c r="BU1" s="722"/>
      <c r="BV1" s="531"/>
      <c r="BW1" s="531"/>
      <c r="BX1" s="531"/>
    </row>
    <row r="2" spans="1:95" ht="19.5" customHeight="1">
      <c r="A2" s="556"/>
      <c r="B2" s="706"/>
      <c r="C2" s="531"/>
      <c r="D2" s="531"/>
      <c r="E2" s="531">
        <v>26</v>
      </c>
      <c r="F2" s="531">
        <v>27</v>
      </c>
      <c r="G2" s="531">
        <v>28</v>
      </c>
      <c r="H2" s="531">
        <v>29</v>
      </c>
      <c r="I2" s="531">
        <v>30</v>
      </c>
      <c r="J2" s="531">
        <v>31</v>
      </c>
      <c r="K2" s="531">
        <v>1</v>
      </c>
      <c r="L2" s="531">
        <v>2</v>
      </c>
      <c r="M2" s="531">
        <v>3</v>
      </c>
      <c r="N2" s="531">
        <v>4</v>
      </c>
      <c r="O2" s="531">
        <v>5</v>
      </c>
      <c r="P2" s="531">
        <v>6</v>
      </c>
      <c r="Q2" s="531">
        <v>7</v>
      </c>
      <c r="R2" s="531">
        <v>8</v>
      </c>
      <c r="S2" s="531">
        <v>9</v>
      </c>
      <c r="T2" s="531">
        <v>10</v>
      </c>
      <c r="U2" s="531">
        <v>11</v>
      </c>
      <c r="V2" s="531">
        <v>12</v>
      </c>
      <c r="W2" s="531">
        <v>13</v>
      </c>
      <c r="X2" s="531">
        <v>14</v>
      </c>
      <c r="Y2" s="531">
        <v>15</v>
      </c>
      <c r="Z2" s="531">
        <v>16</v>
      </c>
      <c r="AA2" s="531">
        <v>17</v>
      </c>
      <c r="AB2" s="531">
        <v>18</v>
      </c>
      <c r="AC2" s="531">
        <v>19</v>
      </c>
      <c r="AD2" s="531">
        <v>20</v>
      </c>
      <c r="AE2" s="531">
        <v>21</v>
      </c>
      <c r="AF2" s="531">
        <v>22</v>
      </c>
      <c r="AG2" s="531">
        <v>23</v>
      </c>
      <c r="AH2" s="531">
        <v>24</v>
      </c>
      <c r="AI2" s="531">
        <v>25</v>
      </c>
      <c r="AJ2" s="531"/>
      <c r="AK2" s="531"/>
      <c r="AL2" s="531"/>
      <c r="AM2" s="531"/>
      <c r="AN2" s="531">
        <f t="shared" ref="AN2:AR2" si="0">E2</f>
        <v>26</v>
      </c>
      <c r="AO2" s="583">
        <f t="shared" si="0"/>
        <v>27</v>
      </c>
      <c r="AP2" s="531">
        <f t="shared" si="0"/>
        <v>28</v>
      </c>
      <c r="AQ2" s="531">
        <f t="shared" si="0"/>
        <v>29</v>
      </c>
      <c r="AR2" s="531">
        <f t="shared" si="0"/>
        <v>30</v>
      </c>
      <c r="AS2" s="531">
        <f t="shared" ref="AS2" si="1">J2</f>
        <v>31</v>
      </c>
      <c r="AT2" s="531">
        <f t="shared" ref="AT2" si="2">K2</f>
        <v>1</v>
      </c>
      <c r="AU2" s="531">
        <f t="shared" ref="AU2:BR2" si="3">L2</f>
        <v>2</v>
      </c>
      <c r="AV2" s="556">
        <f t="shared" si="3"/>
        <v>3</v>
      </c>
      <c r="AW2" s="556">
        <f t="shared" si="3"/>
        <v>4</v>
      </c>
      <c r="AX2" s="556">
        <f t="shared" si="3"/>
        <v>5</v>
      </c>
      <c r="AY2" s="556">
        <f t="shared" si="3"/>
        <v>6</v>
      </c>
      <c r="AZ2" s="556">
        <f t="shared" si="3"/>
        <v>7</v>
      </c>
      <c r="BA2" s="556">
        <f t="shared" si="3"/>
        <v>8</v>
      </c>
      <c r="BB2" s="556">
        <f t="shared" si="3"/>
        <v>9</v>
      </c>
      <c r="BC2" s="583">
        <f t="shared" si="3"/>
        <v>10</v>
      </c>
      <c r="BD2" s="556">
        <f t="shared" si="3"/>
        <v>11</v>
      </c>
      <c r="BE2" s="531">
        <f t="shared" si="3"/>
        <v>12</v>
      </c>
      <c r="BF2" s="556">
        <f t="shared" si="3"/>
        <v>13</v>
      </c>
      <c r="BG2" s="556">
        <f t="shared" si="3"/>
        <v>14</v>
      </c>
      <c r="BH2" s="556">
        <f t="shared" si="3"/>
        <v>15</v>
      </c>
      <c r="BI2" s="531">
        <f t="shared" si="3"/>
        <v>16</v>
      </c>
      <c r="BJ2" s="583">
        <f t="shared" si="3"/>
        <v>17</v>
      </c>
      <c r="BK2" s="531">
        <f t="shared" si="3"/>
        <v>18</v>
      </c>
      <c r="BL2" s="531">
        <f t="shared" si="3"/>
        <v>19</v>
      </c>
      <c r="BM2" s="531">
        <f t="shared" si="3"/>
        <v>20</v>
      </c>
      <c r="BN2" s="556">
        <f t="shared" si="3"/>
        <v>21</v>
      </c>
      <c r="BO2" s="556">
        <f t="shared" si="3"/>
        <v>22</v>
      </c>
      <c r="BP2" s="556">
        <f t="shared" si="3"/>
        <v>23</v>
      </c>
      <c r="BQ2" s="556">
        <f t="shared" si="3"/>
        <v>24</v>
      </c>
      <c r="BR2" s="556">
        <f t="shared" si="3"/>
        <v>25</v>
      </c>
      <c r="BS2" s="531"/>
      <c r="BT2" s="531"/>
      <c r="BU2" s="531"/>
      <c r="BV2" s="531"/>
      <c r="BW2" s="531"/>
      <c r="BX2" s="531"/>
    </row>
    <row r="3" spans="1:95" ht="15" customHeight="1">
      <c r="A3" s="712"/>
      <c r="B3" s="707"/>
      <c r="C3" s="557"/>
      <c r="D3" s="557"/>
      <c r="E3" s="1025" t="s">
        <v>355</v>
      </c>
      <c r="F3" s="1025"/>
      <c r="G3" s="1025"/>
      <c r="H3" s="1025"/>
      <c r="I3" s="1025"/>
      <c r="J3" s="1025"/>
      <c r="K3" s="1025"/>
      <c r="L3" s="1025"/>
      <c r="M3" s="1025"/>
      <c r="N3" s="1025"/>
      <c r="O3" s="1025"/>
      <c r="P3" s="1025"/>
      <c r="Q3" s="1025"/>
      <c r="R3" s="1025"/>
      <c r="S3" s="1025"/>
      <c r="T3" s="1025"/>
      <c r="U3" s="1025"/>
      <c r="V3" s="1025"/>
      <c r="W3" s="1025"/>
      <c r="X3" s="1025"/>
      <c r="Y3" s="1025"/>
      <c r="Z3" s="1025"/>
      <c r="AA3" s="1025"/>
      <c r="AB3" s="1025"/>
      <c r="AC3" s="1025"/>
      <c r="AD3" s="1025"/>
      <c r="AE3" s="1025"/>
      <c r="AF3" s="1025"/>
      <c r="AG3" s="1025"/>
      <c r="AH3" s="1025"/>
      <c r="AI3" s="637"/>
      <c r="AJ3" s="1021" t="s">
        <v>379</v>
      </c>
      <c r="AK3" s="1022"/>
      <c r="AL3" s="1023" t="s">
        <v>380</v>
      </c>
      <c r="AM3" s="1024"/>
      <c r="AN3" s="1025" t="s">
        <v>378</v>
      </c>
      <c r="AO3" s="1026"/>
      <c r="AP3" s="1025"/>
      <c r="AQ3" s="1025"/>
      <c r="AR3" s="1025"/>
      <c r="AS3" s="1025"/>
      <c r="AT3" s="1025"/>
      <c r="AU3" s="1025"/>
      <c r="AV3" s="1025"/>
      <c r="AW3" s="1025"/>
      <c r="AX3" s="1025"/>
      <c r="AY3" s="1025"/>
      <c r="AZ3" s="1025"/>
      <c r="BA3" s="1025"/>
      <c r="BB3" s="1025"/>
      <c r="BC3" s="1026"/>
      <c r="BD3" s="1025"/>
      <c r="BE3" s="1025"/>
      <c r="BF3" s="1025"/>
      <c r="BG3" s="1025"/>
      <c r="BH3" s="1025"/>
      <c r="BI3" s="1025"/>
      <c r="BJ3" s="1026"/>
      <c r="BK3" s="1025"/>
      <c r="BL3" s="1025"/>
      <c r="BM3" s="1025"/>
      <c r="BN3" s="1025"/>
      <c r="BO3" s="1025"/>
      <c r="BP3" s="1025"/>
      <c r="BQ3" s="1025"/>
      <c r="BR3" s="1025"/>
      <c r="BS3" s="1027" t="s">
        <v>357</v>
      </c>
      <c r="BT3" s="1028"/>
      <c r="BU3" s="1028"/>
      <c r="BV3" s="531"/>
      <c r="BW3" s="531">
        <v>3</v>
      </c>
      <c r="BX3" s="531"/>
    </row>
    <row r="4" spans="1:95" s="941" customFormat="1" ht="19.5" customHeight="1">
      <c r="A4" s="713" t="s">
        <v>0</v>
      </c>
      <c r="B4" s="708" t="s">
        <v>284</v>
      </c>
      <c r="C4" s="261" t="s">
        <v>2</v>
      </c>
      <c r="D4" s="262" t="s">
        <v>3</v>
      </c>
      <c r="E4" s="936">
        <v>2</v>
      </c>
      <c r="F4" s="936">
        <v>3</v>
      </c>
      <c r="G4" s="936">
        <v>4</v>
      </c>
      <c r="H4" s="936">
        <v>5</v>
      </c>
      <c r="I4" s="936">
        <v>6</v>
      </c>
      <c r="J4" s="936">
        <v>7</v>
      </c>
      <c r="K4" s="936" t="s">
        <v>384</v>
      </c>
      <c r="L4" s="936">
        <v>2</v>
      </c>
      <c r="M4" s="936">
        <v>3</v>
      </c>
      <c r="N4" s="936">
        <v>4</v>
      </c>
      <c r="O4" s="936">
        <v>5</v>
      </c>
      <c r="P4" s="936">
        <v>6</v>
      </c>
      <c r="Q4" s="936">
        <v>7</v>
      </c>
      <c r="R4" s="936" t="s">
        <v>384</v>
      </c>
      <c r="S4" s="936">
        <v>2</v>
      </c>
      <c r="T4" s="936">
        <v>3</v>
      </c>
      <c r="U4" s="936">
        <v>4</v>
      </c>
      <c r="V4" s="936">
        <v>5</v>
      </c>
      <c r="W4" s="936">
        <v>6</v>
      </c>
      <c r="X4" s="936">
        <v>7</v>
      </c>
      <c r="Y4" s="936" t="s">
        <v>384</v>
      </c>
      <c r="Z4" s="936">
        <v>2</v>
      </c>
      <c r="AA4" s="936">
        <v>3</v>
      </c>
      <c r="AB4" s="936">
        <v>4</v>
      </c>
      <c r="AC4" s="936">
        <v>5</v>
      </c>
      <c r="AD4" s="936">
        <v>6</v>
      </c>
      <c r="AE4" s="936">
        <v>7</v>
      </c>
      <c r="AF4" s="936" t="s">
        <v>384</v>
      </c>
      <c r="AG4" s="936">
        <v>2</v>
      </c>
      <c r="AH4" s="936">
        <v>3</v>
      </c>
      <c r="AI4" s="936">
        <v>4</v>
      </c>
      <c r="AJ4" s="937" t="s">
        <v>381</v>
      </c>
      <c r="AK4" s="938" t="s">
        <v>382</v>
      </c>
      <c r="AL4" s="938" t="s">
        <v>383</v>
      </c>
      <c r="AM4" s="938" t="s">
        <v>382</v>
      </c>
      <c r="AN4" s="935">
        <f>E4</f>
        <v>2</v>
      </c>
      <c r="AO4" s="935">
        <f t="shared" ref="AO4:AP4" si="4">F4</f>
        <v>3</v>
      </c>
      <c r="AP4" s="935">
        <f t="shared" si="4"/>
        <v>4</v>
      </c>
      <c r="AQ4" s="935">
        <f t="shared" ref="AQ4:AS4" si="5">H4</f>
        <v>5</v>
      </c>
      <c r="AR4" s="935">
        <f t="shared" si="5"/>
        <v>6</v>
      </c>
      <c r="AS4" s="935">
        <f t="shared" si="5"/>
        <v>7</v>
      </c>
      <c r="AT4" s="935" t="str">
        <f t="shared" ref="AT4:BR4" si="6">K4</f>
        <v>CN</v>
      </c>
      <c r="AU4" s="935">
        <f t="shared" si="6"/>
        <v>2</v>
      </c>
      <c r="AV4" s="935">
        <f t="shared" si="6"/>
        <v>3</v>
      </c>
      <c r="AW4" s="935">
        <f t="shared" si="6"/>
        <v>4</v>
      </c>
      <c r="AX4" s="935">
        <f t="shared" si="6"/>
        <v>5</v>
      </c>
      <c r="AY4" s="935">
        <f t="shared" si="6"/>
        <v>6</v>
      </c>
      <c r="AZ4" s="935">
        <f t="shared" si="6"/>
        <v>7</v>
      </c>
      <c r="BA4" s="935" t="str">
        <f t="shared" si="6"/>
        <v>CN</v>
      </c>
      <c r="BB4" s="935">
        <f t="shared" si="6"/>
        <v>2</v>
      </c>
      <c r="BC4" s="935">
        <f t="shared" si="6"/>
        <v>3</v>
      </c>
      <c r="BD4" s="935">
        <f t="shared" si="6"/>
        <v>4</v>
      </c>
      <c r="BE4" s="935">
        <f t="shared" si="6"/>
        <v>5</v>
      </c>
      <c r="BF4" s="935">
        <f t="shared" si="6"/>
        <v>6</v>
      </c>
      <c r="BG4" s="935">
        <f t="shared" si="6"/>
        <v>7</v>
      </c>
      <c r="BH4" s="935" t="str">
        <f t="shared" si="6"/>
        <v>CN</v>
      </c>
      <c r="BI4" s="935">
        <f t="shared" si="6"/>
        <v>2</v>
      </c>
      <c r="BJ4" s="935">
        <f t="shared" si="6"/>
        <v>3</v>
      </c>
      <c r="BK4" s="935">
        <f t="shared" si="6"/>
        <v>4</v>
      </c>
      <c r="BL4" s="935">
        <f t="shared" si="6"/>
        <v>5</v>
      </c>
      <c r="BM4" s="935">
        <f t="shared" si="6"/>
        <v>6</v>
      </c>
      <c r="BN4" s="935">
        <f t="shared" si="6"/>
        <v>7</v>
      </c>
      <c r="BO4" s="935" t="str">
        <f t="shared" si="6"/>
        <v>CN</v>
      </c>
      <c r="BP4" s="935">
        <f t="shared" si="6"/>
        <v>2</v>
      </c>
      <c r="BQ4" s="935">
        <f t="shared" si="6"/>
        <v>3</v>
      </c>
      <c r="BR4" s="935">
        <f t="shared" si="6"/>
        <v>4</v>
      </c>
      <c r="BS4" s="939" t="s">
        <v>385</v>
      </c>
      <c r="BT4" s="939" t="s">
        <v>386</v>
      </c>
      <c r="BU4" s="940" t="s">
        <v>382</v>
      </c>
      <c r="BV4" s="790" t="s">
        <v>709</v>
      </c>
      <c r="BW4" s="790" t="s">
        <v>710</v>
      </c>
      <c r="BX4" s="744"/>
      <c r="BY4" s="1029" t="s">
        <v>733</v>
      </c>
      <c r="BZ4" s="1030"/>
      <c r="CA4" s="1030"/>
      <c r="CB4" s="1030"/>
      <c r="CC4" s="1030"/>
      <c r="CD4" s="1030"/>
      <c r="CE4" s="1030"/>
      <c r="CF4" s="1030"/>
      <c r="CG4" s="1030"/>
      <c r="CH4" s="1030"/>
      <c r="CI4" s="1030"/>
      <c r="CJ4" s="1030"/>
      <c r="CK4" s="1030"/>
      <c r="CL4" s="1030"/>
      <c r="CM4" s="1030"/>
      <c r="CN4" s="1030"/>
      <c r="CO4" s="1030"/>
      <c r="CP4" s="1030"/>
      <c r="CQ4" s="1030"/>
    </row>
    <row r="5" spans="1:95" s="711" customFormat="1" ht="24.75" customHeight="1">
      <c r="A5" s="709"/>
      <c r="B5" s="709"/>
      <c r="C5" s="715" t="s">
        <v>735</v>
      </c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709"/>
      <c r="AB5" s="709"/>
      <c r="AC5" s="709"/>
      <c r="AD5" s="709"/>
      <c r="AE5" s="709"/>
      <c r="AF5" s="709"/>
      <c r="AG5" s="709"/>
      <c r="AH5" s="709"/>
      <c r="AI5" s="709"/>
      <c r="AJ5" s="709"/>
      <c r="AK5" s="709"/>
      <c r="AL5" s="709"/>
      <c r="AM5" s="709"/>
      <c r="AN5" s="709"/>
      <c r="AO5" s="709"/>
      <c r="AP5" s="709"/>
      <c r="AQ5" s="709"/>
      <c r="AR5" s="709"/>
      <c r="AS5" s="709"/>
      <c r="AT5" s="709"/>
      <c r="AU5" s="709"/>
      <c r="AV5" s="709"/>
      <c r="AW5" s="709"/>
      <c r="AX5" s="709"/>
      <c r="AY5" s="709"/>
      <c r="AZ5" s="709"/>
      <c r="BA5" s="709"/>
      <c r="BB5" s="709"/>
      <c r="BC5" s="709"/>
      <c r="BD5" s="709"/>
      <c r="BE5" s="709"/>
      <c r="BF5" s="709"/>
      <c r="BG5" s="709"/>
      <c r="BH5" s="709"/>
      <c r="BI5" s="709"/>
      <c r="BJ5" s="709"/>
      <c r="BK5" s="709"/>
      <c r="BL5" s="709"/>
      <c r="BM5" s="709"/>
      <c r="BN5" s="709"/>
      <c r="BO5" s="709"/>
      <c r="BP5" s="709"/>
      <c r="BQ5" s="709"/>
      <c r="BR5" s="709"/>
      <c r="BS5" s="709"/>
      <c r="BT5" s="709"/>
      <c r="BU5" s="724"/>
      <c r="BV5" s="724"/>
      <c r="BW5" s="710"/>
      <c r="BX5" s="745"/>
    </row>
    <row r="6" spans="1:95" ht="24">
      <c r="A6" s="680">
        <f>'BANG LUONG 1'!A6</f>
        <v>1</v>
      </c>
      <c r="B6" s="263" t="str">
        <f>'BANG LUONG 1'!B6</f>
        <v>NV01</v>
      </c>
      <c r="C6" s="263" t="str">
        <f>'BANG LUONG 1'!C6</f>
        <v>Nguyễn Trọng Minh</v>
      </c>
      <c r="D6" s="263" t="str">
        <f>'BANG LUONG 1'!D6</f>
        <v>Đội trưởng XLB</v>
      </c>
      <c r="E6" s="943">
        <v>1</v>
      </c>
      <c r="F6" s="943">
        <v>1</v>
      </c>
      <c r="G6" s="943">
        <v>1</v>
      </c>
      <c r="H6" s="943">
        <v>1</v>
      </c>
      <c r="I6" s="943">
        <v>1</v>
      </c>
      <c r="J6" s="943">
        <v>1</v>
      </c>
      <c r="K6" s="944"/>
      <c r="L6" s="943">
        <v>1</v>
      </c>
      <c r="M6" s="943">
        <v>1</v>
      </c>
      <c r="N6" s="943">
        <v>1</v>
      </c>
      <c r="O6" s="943">
        <v>1</v>
      </c>
      <c r="P6" s="943">
        <v>1</v>
      </c>
      <c r="Q6" s="943">
        <v>1</v>
      </c>
      <c r="R6" s="944"/>
      <c r="S6" s="943">
        <v>1</v>
      </c>
      <c r="T6" s="943">
        <v>1</v>
      </c>
      <c r="U6" s="943">
        <v>1</v>
      </c>
      <c r="V6" s="943">
        <v>1</v>
      </c>
      <c r="W6" s="943">
        <v>1</v>
      </c>
      <c r="X6" s="943">
        <v>1</v>
      </c>
      <c r="Y6" s="944"/>
      <c r="Z6" s="943">
        <v>1</v>
      </c>
      <c r="AA6" s="943">
        <v>1</v>
      </c>
      <c r="AB6" s="943">
        <v>1</v>
      </c>
      <c r="AC6" s="943">
        <v>1</v>
      </c>
      <c r="AD6" s="943">
        <v>1</v>
      </c>
      <c r="AE6" s="943">
        <v>1</v>
      </c>
      <c r="AF6" s="944"/>
      <c r="AG6" s="943">
        <v>1</v>
      </c>
      <c r="AH6" s="943">
        <v>1</v>
      </c>
      <c r="AI6" s="943">
        <v>1</v>
      </c>
      <c r="AJ6" s="558">
        <f>SUM(E6:AI6)-AK6</f>
        <v>27</v>
      </c>
      <c r="AK6" s="558">
        <f>SUMIF($E$4:$AI$4,"LT",E6:AI6)</f>
        <v>0</v>
      </c>
      <c r="AL6" s="558">
        <f>COUNTIF(E6:AI6,"P")</f>
        <v>0</v>
      </c>
      <c r="AM6" s="558">
        <f>COUNTIF(E6:AI6,"LT")</f>
        <v>0</v>
      </c>
      <c r="AN6" s="263"/>
      <c r="AO6" s="263"/>
      <c r="AP6" s="263"/>
      <c r="AQ6" s="263"/>
      <c r="AR6" s="263"/>
      <c r="AS6" s="263"/>
      <c r="AT6" s="709"/>
      <c r="AU6" s="263"/>
      <c r="AV6" s="263"/>
      <c r="AW6" s="263"/>
      <c r="AX6" s="263"/>
      <c r="AY6" s="263"/>
      <c r="AZ6" s="263"/>
      <c r="BA6" s="709"/>
      <c r="BB6" s="263"/>
      <c r="BC6" s="263"/>
      <c r="BD6" s="263"/>
      <c r="BE6" s="263"/>
      <c r="BF6" s="263"/>
      <c r="BG6" s="263"/>
      <c r="BH6" s="709"/>
      <c r="BI6" s="263"/>
      <c r="BJ6" s="263"/>
      <c r="BK6" s="263"/>
      <c r="BL6" s="263"/>
      <c r="BM6" s="263"/>
      <c r="BN6" s="263"/>
      <c r="BO6" s="709"/>
      <c r="BP6" s="263"/>
      <c r="BQ6" s="263"/>
      <c r="BR6" s="263"/>
      <c r="BS6" s="530">
        <f t="shared" ref="BS6:BS13" si="7">SUM(AN6:BR6)-BT6</f>
        <v>0</v>
      </c>
      <c r="BT6" s="530">
        <f t="shared" ref="BT6:BT13" si="8">SUMIF($AN$4:$BR$4,"CN",AN6:BR6)</f>
        <v>0</v>
      </c>
      <c r="BU6" s="530">
        <f t="shared" ref="BU6:BU13" si="9">SUMIF($AN$4:$BR$4,"LT",AN6:BR6)</f>
        <v>0</v>
      </c>
      <c r="BV6" s="681"/>
      <c r="BW6" s="681">
        <f t="shared" ref="BW6:BW15" si="10">COUNTIFS(AN6:BR6,"&gt;="&amp;$BW$3,$AN$4:$BR$4,"&lt;&gt;CN")</f>
        <v>0</v>
      </c>
      <c r="BX6" s="746"/>
    </row>
    <row r="7" spans="1:95" s="531" customFormat="1" ht="21" customHeight="1">
      <c r="A7" s="680">
        <f>'BANG LUONG 1'!A7</f>
        <v>2</v>
      </c>
      <c r="B7" s="263" t="str">
        <f>'BANG LUONG 1'!B7</f>
        <v>NV02</v>
      </c>
      <c r="C7" s="263" t="str">
        <f>'BANG LUONG 1'!C7</f>
        <v xml:space="preserve">Nguyễn Minh Tuấn </v>
      </c>
      <c r="D7" s="263" t="str">
        <f>'BANG LUONG 1'!D7</f>
        <v xml:space="preserve">Công nhân </v>
      </c>
      <c r="E7" s="943">
        <v>1</v>
      </c>
      <c r="F7" s="943">
        <v>1</v>
      </c>
      <c r="G7" s="943">
        <v>1</v>
      </c>
      <c r="H7" s="943">
        <v>1</v>
      </c>
      <c r="I7" s="943">
        <v>1</v>
      </c>
      <c r="J7" s="943">
        <v>1</v>
      </c>
      <c r="K7" s="944"/>
      <c r="L7" s="943">
        <v>1</v>
      </c>
      <c r="M7" s="943">
        <v>1</v>
      </c>
      <c r="N7" s="943">
        <v>1</v>
      </c>
      <c r="O7" s="943">
        <v>1</v>
      </c>
      <c r="P7" s="943">
        <v>1</v>
      </c>
      <c r="Q7" s="943">
        <v>1</v>
      </c>
      <c r="R7" s="944"/>
      <c r="S7" s="943">
        <v>1</v>
      </c>
      <c r="T7" s="943">
        <v>1</v>
      </c>
      <c r="U7" s="943">
        <v>1</v>
      </c>
      <c r="V7" s="943">
        <v>1</v>
      </c>
      <c r="W7" s="943">
        <v>1</v>
      </c>
      <c r="X7" s="943">
        <v>1</v>
      </c>
      <c r="Y7" s="944"/>
      <c r="Z7" s="943">
        <v>1</v>
      </c>
      <c r="AA7" s="943">
        <v>1</v>
      </c>
      <c r="AB7" s="943">
        <v>1</v>
      </c>
      <c r="AC7" s="943">
        <v>1</v>
      </c>
      <c r="AD7" s="943">
        <v>1</v>
      </c>
      <c r="AE7" s="943">
        <v>1</v>
      </c>
      <c r="AF7" s="944"/>
      <c r="AG7" s="943">
        <v>1</v>
      </c>
      <c r="AH7" s="943">
        <v>1</v>
      </c>
      <c r="AI7" s="943">
        <v>1</v>
      </c>
      <c r="AJ7" s="558">
        <f t="shared" ref="AJ7:AJ13" si="11">SUM(E7:AI7)-AK7</f>
        <v>27</v>
      </c>
      <c r="AK7" s="558">
        <f t="shared" ref="AK7:AK13" si="12">SUMIF($E$4:$AI$4,"LT",E7:AI7)</f>
        <v>0</v>
      </c>
      <c r="AL7" s="558">
        <f t="shared" ref="AL7:AL13" si="13">COUNTIF(E7:AI7,"P")</f>
        <v>0</v>
      </c>
      <c r="AM7" s="558">
        <f t="shared" ref="AM7:AM13" si="14">COUNTIF(E7:AI7,"LT")</f>
        <v>0</v>
      </c>
      <c r="AN7" s="263"/>
      <c r="AO7" s="263"/>
      <c r="AP7" s="263"/>
      <c r="AQ7" s="263"/>
      <c r="AR7" s="263"/>
      <c r="AS7" s="263"/>
      <c r="AT7" s="709"/>
      <c r="AU7" s="263"/>
      <c r="AV7" s="263"/>
      <c r="AW7" s="263"/>
      <c r="AX7" s="263"/>
      <c r="AY7" s="263"/>
      <c r="AZ7" s="263"/>
      <c r="BA7" s="709"/>
      <c r="BB7" s="263"/>
      <c r="BC7" s="263"/>
      <c r="BD7" s="263"/>
      <c r="BE7" s="263"/>
      <c r="BF7" s="263"/>
      <c r="BG7" s="263"/>
      <c r="BH7" s="709"/>
      <c r="BI7" s="263"/>
      <c r="BJ7" s="263"/>
      <c r="BK7" s="263"/>
      <c r="BL7" s="263"/>
      <c r="BM7" s="263"/>
      <c r="BN7" s="263"/>
      <c r="BO7" s="709"/>
      <c r="BP7" s="263"/>
      <c r="BQ7" s="263"/>
      <c r="BR7" s="263"/>
      <c r="BS7" s="530">
        <f t="shared" si="7"/>
        <v>0</v>
      </c>
      <c r="BT7" s="530">
        <f t="shared" si="8"/>
        <v>0</v>
      </c>
      <c r="BU7" s="530">
        <f t="shared" si="9"/>
        <v>0</v>
      </c>
      <c r="BV7" s="681"/>
      <c r="BW7" s="681">
        <f t="shared" si="10"/>
        <v>0</v>
      </c>
      <c r="BX7" s="824"/>
      <c r="BY7" s="823"/>
      <c r="CA7" s="823"/>
      <c r="CB7" s="823"/>
    </row>
    <row r="8" spans="1:95" ht="21" customHeight="1">
      <c r="A8" s="680">
        <f>'BANG LUONG 1'!A8</f>
        <v>5</v>
      </c>
      <c r="B8" s="263" t="str">
        <f>'BANG LUONG 1'!B8</f>
        <v>NV05</v>
      </c>
      <c r="C8" s="263" t="str">
        <f>'BANG LUONG 1'!C8</f>
        <v>Nguyễn Thanh Vạn</v>
      </c>
      <c r="D8" s="263" t="str">
        <f>'BANG LUONG 1'!D8</f>
        <v xml:space="preserve">Công nhân </v>
      </c>
      <c r="E8" s="943">
        <v>1</v>
      </c>
      <c r="F8" s="943">
        <v>1</v>
      </c>
      <c r="G8" s="943">
        <v>1</v>
      </c>
      <c r="H8" s="943">
        <v>1</v>
      </c>
      <c r="I8" s="943">
        <v>1</v>
      </c>
      <c r="J8" s="943">
        <v>1</v>
      </c>
      <c r="K8" s="944"/>
      <c r="L8" s="943">
        <v>1</v>
      </c>
      <c r="M8" s="943">
        <v>1</v>
      </c>
      <c r="N8" s="943">
        <v>1</v>
      </c>
      <c r="O8" s="943">
        <v>1</v>
      </c>
      <c r="P8" s="943">
        <v>1</v>
      </c>
      <c r="Q8" s="943">
        <v>1</v>
      </c>
      <c r="R8" s="944"/>
      <c r="S8" s="943">
        <v>1</v>
      </c>
      <c r="T8" s="943">
        <v>1</v>
      </c>
      <c r="U8" s="943">
        <v>1</v>
      </c>
      <c r="V8" s="943">
        <v>1</v>
      </c>
      <c r="W8" s="943">
        <v>1</v>
      </c>
      <c r="X8" s="943">
        <v>1</v>
      </c>
      <c r="Y8" s="944"/>
      <c r="Z8" s="943">
        <v>1</v>
      </c>
      <c r="AA8" s="943">
        <v>1</v>
      </c>
      <c r="AB8" s="943">
        <v>1</v>
      </c>
      <c r="AC8" s="943">
        <v>1</v>
      </c>
      <c r="AD8" s="943">
        <v>1</v>
      </c>
      <c r="AE8" s="943">
        <v>1</v>
      </c>
      <c r="AF8" s="944"/>
      <c r="AG8" s="943">
        <v>1</v>
      </c>
      <c r="AH8" s="943">
        <v>1</v>
      </c>
      <c r="AI8" s="943">
        <v>1</v>
      </c>
      <c r="AJ8" s="558">
        <f t="shared" si="11"/>
        <v>27</v>
      </c>
      <c r="AK8" s="558">
        <f t="shared" si="12"/>
        <v>0</v>
      </c>
      <c r="AL8" s="558">
        <f t="shared" si="13"/>
        <v>0</v>
      </c>
      <c r="AM8" s="558">
        <f t="shared" si="14"/>
        <v>0</v>
      </c>
      <c r="AN8" s="263"/>
      <c r="AO8" s="263"/>
      <c r="AP8" s="263"/>
      <c r="AQ8" s="263"/>
      <c r="AR8" s="263"/>
      <c r="AS8" s="263"/>
      <c r="AT8" s="709"/>
      <c r="AU8" s="263"/>
      <c r="AV8" s="263"/>
      <c r="AW8" s="263"/>
      <c r="AX8" s="263"/>
      <c r="AY8" s="263"/>
      <c r="AZ8" s="263"/>
      <c r="BA8" s="709"/>
      <c r="BB8" s="263"/>
      <c r="BC8" s="263"/>
      <c r="BD8" s="263"/>
      <c r="BE8" s="263"/>
      <c r="BF8" s="263"/>
      <c r="BG8" s="263"/>
      <c r="BH8" s="709"/>
      <c r="BI8" s="263"/>
      <c r="BJ8" s="263"/>
      <c r="BK8" s="263"/>
      <c r="BL8" s="263"/>
      <c r="BM8" s="263"/>
      <c r="BN8" s="263"/>
      <c r="BO8" s="709"/>
      <c r="BP8" s="263"/>
      <c r="BQ8" s="263"/>
      <c r="BR8" s="263"/>
      <c r="BS8" s="530">
        <f t="shared" si="7"/>
        <v>0</v>
      </c>
      <c r="BT8" s="530">
        <f t="shared" si="8"/>
        <v>0</v>
      </c>
      <c r="BU8" s="530">
        <f t="shared" si="9"/>
        <v>0</v>
      </c>
      <c r="BV8" s="681"/>
      <c r="BW8" s="681">
        <f t="shared" si="10"/>
        <v>0</v>
      </c>
      <c r="BX8" s="746"/>
      <c r="BY8" s="725"/>
    </row>
    <row r="9" spans="1:95" s="531" customFormat="1" ht="21" customHeight="1">
      <c r="A9" s="680">
        <f>'BANG LUONG 1'!A9</f>
        <v>7</v>
      </c>
      <c r="B9" s="263" t="str">
        <f>'BANG LUONG 1'!B9</f>
        <v>NV07</v>
      </c>
      <c r="C9" s="263" t="str">
        <f>'BANG LUONG 1'!C9</f>
        <v xml:space="preserve">Triệu Bô Na </v>
      </c>
      <c r="D9" s="263" t="str">
        <f>'BANG LUONG 1'!D9</f>
        <v xml:space="preserve">Công nhân </v>
      </c>
      <c r="E9" s="943">
        <v>1</v>
      </c>
      <c r="F9" s="943">
        <v>1</v>
      </c>
      <c r="G9" s="943">
        <v>1</v>
      </c>
      <c r="H9" s="943">
        <v>1</v>
      </c>
      <c r="I9" s="943">
        <v>1</v>
      </c>
      <c r="J9" s="943">
        <v>1</v>
      </c>
      <c r="K9" s="944"/>
      <c r="L9" s="943">
        <v>1</v>
      </c>
      <c r="M9" s="943">
        <v>1</v>
      </c>
      <c r="N9" s="943">
        <v>1</v>
      </c>
      <c r="O9" s="943">
        <v>1</v>
      </c>
      <c r="P9" s="943">
        <v>1</v>
      </c>
      <c r="Q9" s="943">
        <v>1</v>
      </c>
      <c r="R9" s="944"/>
      <c r="S9" s="943">
        <v>1</v>
      </c>
      <c r="T9" s="943">
        <v>1</v>
      </c>
      <c r="U9" s="943">
        <v>1</v>
      </c>
      <c r="V9" s="943">
        <v>1</v>
      </c>
      <c r="W9" s="943">
        <v>1</v>
      </c>
      <c r="X9" s="943">
        <v>1</v>
      </c>
      <c r="Y9" s="944"/>
      <c r="Z9" s="943">
        <v>1</v>
      </c>
      <c r="AA9" s="943">
        <v>1</v>
      </c>
      <c r="AB9" s="943">
        <v>1</v>
      </c>
      <c r="AC9" s="943">
        <v>1</v>
      </c>
      <c r="AD9" s="943">
        <v>1</v>
      </c>
      <c r="AE9" s="943">
        <v>1</v>
      </c>
      <c r="AF9" s="944"/>
      <c r="AG9" s="943">
        <v>1</v>
      </c>
      <c r="AH9" s="943">
        <v>1</v>
      </c>
      <c r="AI9" s="943">
        <v>1</v>
      </c>
      <c r="AJ9" s="558">
        <f t="shared" si="11"/>
        <v>27</v>
      </c>
      <c r="AK9" s="558">
        <f t="shared" si="12"/>
        <v>0</v>
      </c>
      <c r="AL9" s="558">
        <f t="shared" si="13"/>
        <v>0</v>
      </c>
      <c r="AM9" s="558">
        <f t="shared" si="14"/>
        <v>0</v>
      </c>
      <c r="AN9" s="263"/>
      <c r="AO9" s="263"/>
      <c r="AP9" s="263"/>
      <c r="AQ9" s="263"/>
      <c r="AR9" s="263"/>
      <c r="AS9" s="263"/>
      <c r="AT9" s="709"/>
      <c r="AU9" s="263"/>
      <c r="AV9" s="263"/>
      <c r="AW9" s="263"/>
      <c r="AX9" s="263"/>
      <c r="AY9" s="263"/>
      <c r="AZ9" s="263"/>
      <c r="BA9" s="709"/>
      <c r="BB9" s="263"/>
      <c r="BC9" s="263"/>
      <c r="BD9" s="263"/>
      <c r="BE9" s="263"/>
      <c r="BF9" s="263"/>
      <c r="BG9" s="263"/>
      <c r="BH9" s="709"/>
      <c r="BI9" s="263"/>
      <c r="BJ9" s="263"/>
      <c r="BK9" s="263"/>
      <c r="BL9" s="263"/>
      <c r="BM9" s="263"/>
      <c r="BN9" s="263"/>
      <c r="BO9" s="709"/>
      <c r="BP9" s="263"/>
      <c r="BQ9" s="263"/>
      <c r="BR9" s="263"/>
      <c r="BS9" s="530">
        <f t="shared" si="7"/>
        <v>0</v>
      </c>
      <c r="BT9" s="530">
        <f t="shared" si="8"/>
        <v>0</v>
      </c>
      <c r="BU9" s="530">
        <f t="shared" si="9"/>
        <v>0</v>
      </c>
      <c r="BV9" s="681"/>
      <c r="BW9" s="681">
        <f t="shared" si="10"/>
        <v>0</v>
      </c>
      <c r="BX9" s="794"/>
      <c r="BY9" s="793"/>
      <c r="BZ9" s="794"/>
    </row>
    <row r="10" spans="1:95" s="531" customFormat="1" ht="21" customHeight="1">
      <c r="A10" s="680">
        <f>'BANG LUONG 1'!A10</f>
        <v>9</v>
      </c>
      <c r="B10" s="263" t="str">
        <f>'BANG LUONG 1'!B10</f>
        <v>NV09</v>
      </c>
      <c r="C10" s="263" t="str">
        <f>'BANG LUONG 1'!C10</f>
        <v>Phan Lâm Thương</v>
      </c>
      <c r="D10" s="263" t="str">
        <f>'BANG LUONG 1'!D10</f>
        <v xml:space="preserve">Công nhân </v>
      </c>
      <c r="E10" s="943">
        <v>1</v>
      </c>
      <c r="F10" s="943">
        <v>1</v>
      </c>
      <c r="G10" s="943">
        <v>1</v>
      </c>
      <c r="H10" s="943">
        <v>1</v>
      </c>
      <c r="I10" s="943">
        <v>1</v>
      </c>
      <c r="J10" s="943">
        <v>1</v>
      </c>
      <c r="K10" s="944"/>
      <c r="L10" s="943">
        <v>1</v>
      </c>
      <c r="M10" s="943">
        <v>1</v>
      </c>
      <c r="N10" s="943">
        <v>1</v>
      </c>
      <c r="O10" s="943">
        <v>1</v>
      </c>
      <c r="P10" s="943">
        <v>1</v>
      </c>
      <c r="Q10" s="943">
        <v>1</v>
      </c>
      <c r="R10" s="944"/>
      <c r="S10" s="943">
        <v>1</v>
      </c>
      <c r="T10" s="943">
        <v>1</v>
      </c>
      <c r="U10" s="943">
        <v>1</v>
      </c>
      <c r="V10" s="943">
        <v>1</v>
      </c>
      <c r="W10" s="943">
        <v>1</v>
      </c>
      <c r="X10" s="943">
        <v>1</v>
      </c>
      <c r="Y10" s="944"/>
      <c r="Z10" s="943">
        <v>1</v>
      </c>
      <c r="AA10" s="943">
        <v>1</v>
      </c>
      <c r="AB10" s="943">
        <v>1</v>
      </c>
      <c r="AC10" s="943">
        <v>1</v>
      </c>
      <c r="AD10" s="943">
        <v>1</v>
      </c>
      <c r="AE10" s="943">
        <v>1</v>
      </c>
      <c r="AF10" s="944"/>
      <c r="AG10" s="943">
        <v>1</v>
      </c>
      <c r="AH10" s="943">
        <v>1</v>
      </c>
      <c r="AI10" s="943">
        <v>1</v>
      </c>
      <c r="AJ10" s="558">
        <f t="shared" si="11"/>
        <v>27</v>
      </c>
      <c r="AK10" s="558">
        <f t="shared" si="12"/>
        <v>0</v>
      </c>
      <c r="AL10" s="558">
        <f t="shared" si="13"/>
        <v>0</v>
      </c>
      <c r="AM10" s="558">
        <f t="shared" si="14"/>
        <v>0</v>
      </c>
      <c r="AN10" s="263"/>
      <c r="AO10" s="263"/>
      <c r="AP10" s="263"/>
      <c r="AQ10" s="263"/>
      <c r="AR10" s="263"/>
      <c r="AS10" s="263"/>
      <c r="AT10" s="709"/>
      <c r="AU10" s="263"/>
      <c r="AV10" s="263"/>
      <c r="AW10" s="263"/>
      <c r="AX10" s="263"/>
      <c r="AY10" s="263"/>
      <c r="AZ10" s="263"/>
      <c r="BA10" s="709"/>
      <c r="BB10" s="263"/>
      <c r="BC10" s="263"/>
      <c r="BD10" s="263"/>
      <c r="BE10" s="263"/>
      <c r="BF10" s="263"/>
      <c r="BG10" s="263"/>
      <c r="BH10" s="709"/>
      <c r="BI10" s="263"/>
      <c r="BJ10" s="263"/>
      <c r="BK10" s="263"/>
      <c r="BL10" s="263"/>
      <c r="BM10" s="263"/>
      <c r="BN10" s="263"/>
      <c r="BO10" s="709"/>
      <c r="BP10" s="263"/>
      <c r="BQ10" s="263"/>
      <c r="BR10" s="263"/>
      <c r="BS10" s="530">
        <f t="shared" si="7"/>
        <v>0</v>
      </c>
      <c r="BT10" s="530">
        <f t="shared" si="8"/>
        <v>0</v>
      </c>
      <c r="BU10" s="530">
        <f t="shared" si="9"/>
        <v>0</v>
      </c>
      <c r="BV10" s="681"/>
      <c r="BW10" s="681">
        <f t="shared" si="10"/>
        <v>0</v>
      </c>
      <c r="BX10" s="794"/>
      <c r="BY10" s="793"/>
      <c r="BZ10" s="794"/>
    </row>
    <row r="11" spans="1:95" s="531" customFormat="1" ht="21" customHeight="1">
      <c r="A11" s="680">
        <f>'BANG LUONG 1'!A11</f>
        <v>10</v>
      </c>
      <c r="B11" s="263" t="str">
        <f>'BANG LUONG 1'!B11</f>
        <v>NV10</v>
      </c>
      <c r="C11" s="263" t="str">
        <f>'BANG LUONG 1'!C11</f>
        <v>Nguyễn Bình Luận</v>
      </c>
      <c r="D11" s="263" t="str">
        <f>'BANG LUONG 1'!D11</f>
        <v xml:space="preserve">Công nhân </v>
      </c>
      <c r="E11" s="943">
        <v>1</v>
      </c>
      <c r="F11" s="943">
        <v>1</v>
      </c>
      <c r="G11" s="943">
        <v>1</v>
      </c>
      <c r="H11" s="943">
        <v>1</v>
      </c>
      <c r="I11" s="943">
        <v>1</v>
      </c>
      <c r="J11" s="943">
        <v>1</v>
      </c>
      <c r="K11" s="944"/>
      <c r="L11" s="943">
        <v>1</v>
      </c>
      <c r="M11" s="943">
        <v>1</v>
      </c>
      <c r="N11" s="943">
        <v>1</v>
      </c>
      <c r="O11" s="943">
        <v>1</v>
      </c>
      <c r="P11" s="943">
        <v>1</v>
      </c>
      <c r="Q11" s="943">
        <v>1</v>
      </c>
      <c r="R11" s="944"/>
      <c r="S11" s="943">
        <v>1</v>
      </c>
      <c r="T11" s="943">
        <v>1</v>
      </c>
      <c r="U11" s="943">
        <v>1</v>
      </c>
      <c r="V11" s="943">
        <v>1</v>
      </c>
      <c r="W11" s="943">
        <v>1</v>
      </c>
      <c r="X11" s="943">
        <v>1</v>
      </c>
      <c r="Y11" s="944"/>
      <c r="Z11" s="943">
        <v>1</v>
      </c>
      <c r="AA11" s="943">
        <v>1</v>
      </c>
      <c r="AB11" s="943">
        <v>1</v>
      </c>
      <c r="AC11" s="943">
        <v>1</v>
      </c>
      <c r="AD11" s="943">
        <v>1</v>
      </c>
      <c r="AE11" s="943">
        <v>1</v>
      </c>
      <c r="AF11" s="944"/>
      <c r="AG11" s="943">
        <v>1</v>
      </c>
      <c r="AH11" s="943">
        <v>1</v>
      </c>
      <c r="AI11" s="943">
        <v>1</v>
      </c>
      <c r="AJ11" s="558">
        <f t="shared" si="11"/>
        <v>27</v>
      </c>
      <c r="AK11" s="558">
        <f t="shared" si="12"/>
        <v>0</v>
      </c>
      <c r="AL11" s="558">
        <f t="shared" si="13"/>
        <v>0</v>
      </c>
      <c r="AM11" s="558">
        <f t="shared" si="14"/>
        <v>0</v>
      </c>
      <c r="AN11" s="263"/>
      <c r="AO11" s="263"/>
      <c r="AP11" s="263"/>
      <c r="AQ11" s="263"/>
      <c r="AR11" s="263"/>
      <c r="AS11" s="263"/>
      <c r="AT11" s="709"/>
      <c r="AU11" s="263"/>
      <c r="AV11" s="263"/>
      <c r="AW11" s="263"/>
      <c r="AX11" s="263"/>
      <c r="AY11" s="263"/>
      <c r="AZ11" s="263"/>
      <c r="BA11" s="709"/>
      <c r="BB11" s="263"/>
      <c r="BC11" s="263"/>
      <c r="BD11" s="263"/>
      <c r="BE11" s="263"/>
      <c r="BF11" s="263"/>
      <c r="BG11" s="263"/>
      <c r="BH11" s="709"/>
      <c r="BI11" s="263"/>
      <c r="BJ11" s="263"/>
      <c r="BK11" s="263"/>
      <c r="BL11" s="263"/>
      <c r="BM11" s="263"/>
      <c r="BN11" s="263"/>
      <c r="BO11" s="709"/>
      <c r="BP11" s="263"/>
      <c r="BQ11" s="263"/>
      <c r="BR11" s="263"/>
      <c r="BS11" s="530">
        <f t="shared" si="7"/>
        <v>0</v>
      </c>
      <c r="BT11" s="530">
        <f t="shared" si="8"/>
        <v>0</v>
      </c>
      <c r="BU11" s="530">
        <f t="shared" si="9"/>
        <v>0</v>
      </c>
      <c r="BV11" s="681"/>
      <c r="BW11" s="681">
        <f t="shared" si="10"/>
        <v>0</v>
      </c>
      <c r="BX11" s="794"/>
      <c r="BY11" s="793"/>
      <c r="BZ11" s="794"/>
    </row>
    <row r="12" spans="1:95" s="531" customFormat="1" ht="21" customHeight="1">
      <c r="A12" s="680">
        <f>'BANG LUONG 1'!A12</f>
        <v>11</v>
      </c>
      <c r="B12" s="263" t="str">
        <f>'BANG LUONG 1'!B12</f>
        <v>NV11</v>
      </c>
      <c r="C12" s="263" t="str">
        <f>'BANG LUONG 1'!C12</f>
        <v>Nguyễn Thế Lực</v>
      </c>
      <c r="D12" s="263" t="str">
        <f>'BANG LUONG 1'!D12</f>
        <v xml:space="preserve">Công nhân </v>
      </c>
      <c r="E12" s="943">
        <v>1</v>
      </c>
      <c r="F12" s="943">
        <v>1</v>
      </c>
      <c r="G12" s="943">
        <v>1</v>
      </c>
      <c r="H12" s="943">
        <v>1</v>
      </c>
      <c r="I12" s="943">
        <v>1</v>
      </c>
      <c r="J12" s="943">
        <v>1</v>
      </c>
      <c r="K12" s="944"/>
      <c r="L12" s="943">
        <v>1</v>
      </c>
      <c r="M12" s="943">
        <v>1</v>
      </c>
      <c r="N12" s="943">
        <v>1</v>
      </c>
      <c r="O12" s="943">
        <v>1</v>
      </c>
      <c r="P12" s="943">
        <v>1</v>
      </c>
      <c r="Q12" s="943">
        <v>1</v>
      </c>
      <c r="R12" s="944"/>
      <c r="S12" s="943">
        <v>1</v>
      </c>
      <c r="T12" s="943">
        <v>1</v>
      </c>
      <c r="U12" s="943">
        <v>1</v>
      </c>
      <c r="V12" s="943">
        <v>1</v>
      </c>
      <c r="W12" s="943">
        <v>1</v>
      </c>
      <c r="X12" s="943">
        <v>1</v>
      </c>
      <c r="Y12" s="944"/>
      <c r="Z12" s="943">
        <v>1</v>
      </c>
      <c r="AA12" s="943">
        <v>1</v>
      </c>
      <c r="AB12" s="943">
        <v>1</v>
      </c>
      <c r="AC12" s="943">
        <v>1</v>
      </c>
      <c r="AD12" s="943">
        <v>1</v>
      </c>
      <c r="AE12" s="943">
        <v>1</v>
      </c>
      <c r="AF12" s="944"/>
      <c r="AG12" s="943">
        <v>1</v>
      </c>
      <c r="AH12" s="943">
        <v>1</v>
      </c>
      <c r="AI12" s="943">
        <v>1</v>
      </c>
      <c r="AJ12" s="558">
        <f t="shared" si="11"/>
        <v>27</v>
      </c>
      <c r="AK12" s="558">
        <f t="shared" si="12"/>
        <v>0</v>
      </c>
      <c r="AL12" s="558">
        <f t="shared" si="13"/>
        <v>0</v>
      </c>
      <c r="AM12" s="558">
        <f t="shared" si="14"/>
        <v>0</v>
      </c>
      <c r="AN12" s="263"/>
      <c r="AO12" s="263"/>
      <c r="AP12" s="263"/>
      <c r="AQ12" s="263"/>
      <c r="AR12" s="263"/>
      <c r="AS12" s="263"/>
      <c r="AT12" s="709"/>
      <c r="AU12" s="263"/>
      <c r="AV12" s="263"/>
      <c r="AW12" s="263"/>
      <c r="AX12" s="263"/>
      <c r="AY12" s="263"/>
      <c r="AZ12" s="263"/>
      <c r="BA12" s="709"/>
      <c r="BB12" s="263"/>
      <c r="BC12" s="263"/>
      <c r="BD12" s="263"/>
      <c r="BE12" s="263"/>
      <c r="BF12" s="263"/>
      <c r="BG12" s="263"/>
      <c r="BH12" s="709"/>
      <c r="BI12" s="263"/>
      <c r="BJ12" s="263"/>
      <c r="BK12" s="263"/>
      <c r="BL12" s="263"/>
      <c r="BM12" s="263"/>
      <c r="BN12" s="263"/>
      <c r="BO12" s="709"/>
      <c r="BP12" s="263"/>
      <c r="BQ12" s="263"/>
      <c r="BR12" s="263"/>
      <c r="BS12" s="530">
        <f t="shared" si="7"/>
        <v>0</v>
      </c>
      <c r="BT12" s="530">
        <f t="shared" si="8"/>
        <v>0</v>
      </c>
      <c r="BU12" s="530">
        <f t="shared" si="9"/>
        <v>0</v>
      </c>
      <c r="BV12" s="681"/>
      <c r="BW12" s="681">
        <f t="shared" si="10"/>
        <v>0</v>
      </c>
      <c r="BX12" s="794"/>
      <c r="BY12" s="793"/>
      <c r="BZ12" s="794"/>
    </row>
    <row r="13" spans="1:95" s="531" customFormat="1" ht="21" customHeight="1">
      <c r="A13" s="680">
        <f>'BANG LUONG 1'!A13</f>
        <v>12</v>
      </c>
      <c r="B13" s="263" t="str">
        <f>'BANG LUONG 1'!B13</f>
        <v>NV12</v>
      </c>
      <c r="C13" s="263" t="str">
        <f>'BANG LUONG 1'!C13</f>
        <v>Nguyễn Thành Vân</v>
      </c>
      <c r="D13" s="263" t="str">
        <f>'BANG LUONG 1'!D13</f>
        <v xml:space="preserve">Công nhân </v>
      </c>
      <c r="E13" s="943">
        <v>1</v>
      </c>
      <c r="F13" s="943">
        <v>1</v>
      </c>
      <c r="G13" s="943">
        <v>1</v>
      </c>
      <c r="H13" s="943">
        <v>1</v>
      </c>
      <c r="I13" s="943">
        <v>1</v>
      </c>
      <c r="J13" s="943">
        <v>1</v>
      </c>
      <c r="K13" s="944"/>
      <c r="L13" s="943">
        <v>1</v>
      </c>
      <c r="M13" s="943">
        <v>1</v>
      </c>
      <c r="N13" s="943">
        <v>1</v>
      </c>
      <c r="O13" s="943">
        <v>1</v>
      </c>
      <c r="P13" s="943">
        <v>1</v>
      </c>
      <c r="Q13" s="943">
        <v>1</v>
      </c>
      <c r="R13" s="944"/>
      <c r="S13" s="943">
        <v>1</v>
      </c>
      <c r="T13" s="943">
        <v>1</v>
      </c>
      <c r="U13" s="943">
        <v>1</v>
      </c>
      <c r="V13" s="943">
        <v>1</v>
      </c>
      <c r="W13" s="943">
        <v>1</v>
      </c>
      <c r="X13" s="943">
        <v>1</v>
      </c>
      <c r="Y13" s="944"/>
      <c r="Z13" s="943">
        <v>1</v>
      </c>
      <c r="AA13" s="943">
        <v>1</v>
      </c>
      <c r="AB13" s="943">
        <v>1</v>
      </c>
      <c r="AC13" s="943">
        <v>1</v>
      </c>
      <c r="AD13" s="943">
        <v>1</v>
      </c>
      <c r="AE13" s="943">
        <v>1</v>
      </c>
      <c r="AF13" s="944"/>
      <c r="AG13" s="943">
        <v>1</v>
      </c>
      <c r="AH13" s="943">
        <v>1</v>
      </c>
      <c r="AI13" s="943">
        <v>1</v>
      </c>
      <c r="AJ13" s="558">
        <f t="shared" si="11"/>
        <v>27</v>
      </c>
      <c r="AK13" s="558">
        <f t="shared" si="12"/>
        <v>0</v>
      </c>
      <c r="AL13" s="558">
        <f t="shared" si="13"/>
        <v>0</v>
      </c>
      <c r="AM13" s="558">
        <f t="shared" si="14"/>
        <v>0</v>
      </c>
      <c r="AN13" s="263"/>
      <c r="AO13" s="263"/>
      <c r="AP13" s="263"/>
      <c r="AQ13" s="263"/>
      <c r="AR13" s="263"/>
      <c r="AS13" s="263"/>
      <c r="AT13" s="709"/>
      <c r="AU13" s="263"/>
      <c r="AV13" s="263"/>
      <c r="AW13" s="263"/>
      <c r="AX13" s="263"/>
      <c r="AY13" s="263"/>
      <c r="AZ13" s="263"/>
      <c r="BA13" s="709"/>
      <c r="BB13" s="263"/>
      <c r="BC13" s="263"/>
      <c r="BD13" s="263"/>
      <c r="BE13" s="263"/>
      <c r="BF13" s="263"/>
      <c r="BG13" s="263"/>
      <c r="BH13" s="709"/>
      <c r="BI13" s="263"/>
      <c r="BJ13" s="263"/>
      <c r="BK13" s="263"/>
      <c r="BL13" s="263"/>
      <c r="BM13" s="263"/>
      <c r="BN13" s="263"/>
      <c r="BO13" s="709"/>
      <c r="BP13" s="263"/>
      <c r="BQ13" s="263"/>
      <c r="BR13" s="263"/>
      <c r="BS13" s="530">
        <f t="shared" si="7"/>
        <v>0</v>
      </c>
      <c r="BT13" s="530">
        <f t="shared" si="8"/>
        <v>0</v>
      </c>
      <c r="BU13" s="530">
        <f t="shared" si="9"/>
        <v>0</v>
      </c>
      <c r="BV13" s="681"/>
      <c r="BW13" s="681">
        <f t="shared" si="10"/>
        <v>0</v>
      </c>
      <c r="BX13" s="794"/>
      <c r="BY13" s="793"/>
      <c r="BZ13" s="794"/>
    </row>
    <row r="14" spans="1:95" s="531" customFormat="1" ht="21" customHeight="1">
      <c r="A14" s="680">
        <f>'BANG LUONG 1'!A14</f>
        <v>0</v>
      </c>
      <c r="B14" s="263" t="str">
        <f>'BANG LUONG 1'!B14</f>
        <v>NV46</v>
      </c>
      <c r="C14" s="263" t="s">
        <v>888</v>
      </c>
      <c r="D14" s="263" t="str">
        <f>'BANG LUONG 1'!D14</f>
        <v xml:space="preserve">Công nhân </v>
      </c>
      <c r="E14" s="943">
        <v>1</v>
      </c>
      <c r="F14" s="943">
        <v>1</v>
      </c>
      <c r="G14" s="943">
        <v>1</v>
      </c>
      <c r="H14" s="943">
        <v>1</v>
      </c>
      <c r="I14" s="943">
        <v>1</v>
      </c>
      <c r="J14" s="943">
        <v>1</v>
      </c>
      <c r="K14" s="944"/>
      <c r="L14" s="943">
        <v>1</v>
      </c>
      <c r="M14" s="943">
        <v>1</v>
      </c>
      <c r="N14" s="943">
        <v>1</v>
      </c>
      <c r="O14" s="943">
        <v>1</v>
      </c>
      <c r="P14" s="943">
        <v>1</v>
      </c>
      <c r="Q14" s="943">
        <v>1</v>
      </c>
      <c r="R14" s="944"/>
      <c r="S14" s="943">
        <v>1</v>
      </c>
      <c r="T14" s="943">
        <v>1</v>
      </c>
      <c r="U14" s="943">
        <v>1</v>
      </c>
      <c r="V14" s="943">
        <v>1</v>
      </c>
      <c r="W14" s="943">
        <v>1</v>
      </c>
      <c r="X14" s="943">
        <v>1</v>
      </c>
      <c r="Y14" s="944"/>
      <c r="Z14" s="943">
        <v>1</v>
      </c>
      <c r="AA14" s="943">
        <v>1</v>
      </c>
      <c r="AB14" s="943">
        <v>1</v>
      </c>
      <c r="AC14" s="943">
        <v>1</v>
      </c>
      <c r="AD14" s="943">
        <v>1</v>
      </c>
      <c r="AE14" s="943">
        <v>1</v>
      </c>
      <c r="AF14" s="944"/>
      <c r="AG14" s="943">
        <v>1</v>
      </c>
      <c r="AH14" s="943">
        <v>1</v>
      </c>
      <c r="AI14" s="943">
        <v>1</v>
      </c>
      <c r="AJ14" s="558">
        <f t="shared" ref="AJ14:AJ15" si="15">SUM(E14:AI14)-AK14</f>
        <v>27</v>
      </c>
      <c r="AK14" s="558">
        <f t="shared" ref="AK14:AK15" si="16">SUMIF($E$4:$AI$4,"LT",E14:AI14)</f>
        <v>0</v>
      </c>
      <c r="AL14" s="558">
        <f t="shared" ref="AL14:AL15" si="17">COUNTIF(E14:AI14,"P")</f>
        <v>0</v>
      </c>
      <c r="AM14" s="558">
        <f t="shared" ref="AM14:AM15" si="18">COUNTIF(E14:AI14,"LT")</f>
        <v>0</v>
      </c>
      <c r="AN14" s="263"/>
      <c r="AO14" s="263"/>
      <c r="AP14" s="263"/>
      <c r="AQ14" s="263"/>
      <c r="AR14" s="263"/>
      <c r="AS14" s="263"/>
      <c r="AT14" s="709"/>
      <c r="AU14" s="263"/>
      <c r="AV14" s="263"/>
      <c r="AW14" s="263"/>
      <c r="AX14" s="263"/>
      <c r="AY14" s="263"/>
      <c r="AZ14" s="263"/>
      <c r="BA14" s="709"/>
      <c r="BB14" s="263"/>
      <c r="BC14" s="263"/>
      <c r="BD14" s="263"/>
      <c r="BE14" s="263"/>
      <c r="BF14" s="263"/>
      <c r="BG14" s="263"/>
      <c r="BH14" s="709"/>
      <c r="BI14" s="263"/>
      <c r="BJ14" s="263"/>
      <c r="BK14" s="263"/>
      <c r="BL14" s="263"/>
      <c r="BM14" s="263"/>
      <c r="BN14" s="263"/>
      <c r="BO14" s="709"/>
      <c r="BP14" s="263"/>
      <c r="BQ14" s="263"/>
      <c r="BR14" s="263"/>
      <c r="BS14" s="530">
        <f t="shared" ref="BS14:BS16" si="19">SUM(AN14:BR14)-BT14</f>
        <v>0</v>
      </c>
      <c r="BT14" s="530">
        <f t="shared" ref="BT14:BT16" si="20">SUMIF($AN$4:$BR$4,"CN",AN14:BR14)</f>
        <v>0</v>
      </c>
      <c r="BU14" s="530">
        <f t="shared" ref="BU14:BU16" si="21">SUMIF($AN$4:$BR$4,"LT",AN14:BR14)</f>
        <v>0</v>
      </c>
      <c r="BV14" s="892"/>
      <c r="BW14" s="791">
        <f t="shared" si="10"/>
        <v>0</v>
      </c>
      <c r="BX14" s="794"/>
      <c r="BY14" s="793"/>
      <c r="BZ14" s="794"/>
    </row>
    <row r="15" spans="1:95" s="531" customFormat="1" ht="21" customHeight="1">
      <c r="A15" s="680">
        <f>'BANG LUONG 1'!A15</f>
        <v>0</v>
      </c>
      <c r="B15" s="263" t="str">
        <f>'BANG LUONG 1'!B15</f>
        <v>NV47</v>
      </c>
      <c r="C15" s="263" t="s">
        <v>889</v>
      </c>
      <c r="D15" s="263" t="str">
        <f>'BANG LUONG 1'!D15</f>
        <v xml:space="preserve">Công nhân </v>
      </c>
      <c r="E15" s="943">
        <v>1</v>
      </c>
      <c r="F15" s="943">
        <v>1</v>
      </c>
      <c r="G15" s="943">
        <v>1</v>
      </c>
      <c r="H15" s="943">
        <v>1</v>
      </c>
      <c r="I15" s="943">
        <v>1</v>
      </c>
      <c r="J15" s="943">
        <v>1</v>
      </c>
      <c r="K15" s="944"/>
      <c r="L15" s="943">
        <v>1</v>
      </c>
      <c r="M15" s="943">
        <v>1</v>
      </c>
      <c r="N15" s="943">
        <v>1</v>
      </c>
      <c r="O15" s="943">
        <v>1</v>
      </c>
      <c r="P15" s="943">
        <v>1</v>
      </c>
      <c r="Q15" s="943">
        <v>1</v>
      </c>
      <c r="R15" s="944"/>
      <c r="S15" s="943">
        <v>1</v>
      </c>
      <c r="T15" s="943">
        <v>1</v>
      </c>
      <c r="U15" s="943">
        <v>1</v>
      </c>
      <c r="V15" s="943">
        <v>1</v>
      </c>
      <c r="W15" s="943">
        <v>1</v>
      </c>
      <c r="X15" s="943">
        <v>1</v>
      </c>
      <c r="Y15" s="944"/>
      <c r="Z15" s="943">
        <v>1</v>
      </c>
      <c r="AA15" s="943">
        <v>1</v>
      </c>
      <c r="AB15" s="943">
        <v>1</v>
      </c>
      <c r="AC15" s="943">
        <v>1</v>
      </c>
      <c r="AD15" s="943">
        <v>1</v>
      </c>
      <c r="AE15" s="943">
        <v>1</v>
      </c>
      <c r="AF15" s="944"/>
      <c r="AG15" s="943">
        <v>1</v>
      </c>
      <c r="AH15" s="943">
        <v>1</v>
      </c>
      <c r="AI15" s="943">
        <v>1</v>
      </c>
      <c r="AJ15" s="558">
        <f t="shared" si="15"/>
        <v>27</v>
      </c>
      <c r="AK15" s="558">
        <f t="shared" si="16"/>
        <v>0</v>
      </c>
      <c r="AL15" s="558">
        <f t="shared" si="17"/>
        <v>0</v>
      </c>
      <c r="AM15" s="558">
        <f t="shared" si="18"/>
        <v>0</v>
      </c>
      <c r="AN15" s="263"/>
      <c r="AO15" s="263"/>
      <c r="AP15" s="263"/>
      <c r="AQ15" s="263"/>
      <c r="AR15" s="263"/>
      <c r="AS15" s="263"/>
      <c r="AT15" s="709"/>
      <c r="AU15" s="263"/>
      <c r="AV15" s="263"/>
      <c r="AW15" s="263"/>
      <c r="AX15" s="263"/>
      <c r="AY15" s="263"/>
      <c r="AZ15" s="263"/>
      <c r="BA15" s="709"/>
      <c r="BB15" s="263"/>
      <c r="BC15" s="263"/>
      <c r="BD15" s="263"/>
      <c r="BE15" s="263"/>
      <c r="BF15" s="263"/>
      <c r="BG15" s="263"/>
      <c r="BH15" s="709"/>
      <c r="BI15" s="263"/>
      <c r="BJ15" s="263"/>
      <c r="BK15" s="263"/>
      <c r="BL15" s="263"/>
      <c r="BM15" s="263"/>
      <c r="BN15" s="263"/>
      <c r="BO15" s="709"/>
      <c r="BP15" s="263"/>
      <c r="BQ15" s="263"/>
      <c r="BR15" s="263"/>
      <c r="BS15" s="530">
        <f t="shared" si="19"/>
        <v>0</v>
      </c>
      <c r="BT15" s="530">
        <f t="shared" si="20"/>
        <v>0</v>
      </c>
      <c r="BU15" s="530">
        <f t="shared" si="21"/>
        <v>0</v>
      </c>
      <c r="BV15" s="892"/>
      <c r="BW15" s="791">
        <f t="shared" si="10"/>
        <v>0</v>
      </c>
      <c r="BX15" s="794"/>
      <c r="BY15" s="793"/>
      <c r="BZ15" s="794"/>
    </row>
    <row r="16" spans="1:95" ht="21" customHeight="1">
      <c r="A16" s="680">
        <f>'BANG LUONG 1'!A16</f>
        <v>38</v>
      </c>
      <c r="B16" s="263" t="str">
        <f>'BANG LUONG 1'!B16</f>
        <v>NV38</v>
      </c>
      <c r="C16" s="263" t="str">
        <f>'BANG LUONG 1'!C16</f>
        <v>Nguyễn Văn Rắng</v>
      </c>
      <c r="D16" s="263" t="str">
        <f>'BANG LUONG 1'!D16</f>
        <v xml:space="preserve">Công nhân </v>
      </c>
      <c r="E16" s="943">
        <v>1</v>
      </c>
      <c r="F16" s="943">
        <v>1</v>
      </c>
      <c r="G16" s="943">
        <v>1</v>
      </c>
      <c r="H16" s="943">
        <v>1</v>
      </c>
      <c r="I16" s="943">
        <v>1</v>
      </c>
      <c r="J16" s="943">
        <v>1</v>
      </c>
      <c r="K16" s="944"/>
      <c r="L16" s="943">
        <v>1</v>
      </c>
      <c r="M16" s="943">
        <v>1</v>
      </c>
      <c r="N16" s="943">
        <v>1</v>
      </c>
      <c r="O16" s="943">
        <v>1</v>
      </c>
      <c r="P16" s="943">
        <v>1</v>
      </c>
      <c r="Q16" s="943">
        <v>1</v>
      </c>
      <c r="R16" s="944"/>
      <c r="S16" s="943">
        <v>1</v>
      </c>
      <c r="T16" s="943">
        <v>1</v>
      </c>
      <c r="U16" s="943">
        <v>1</v>
      </c>
      <c r="V16" s="943">
        <v>1</v>
      </c>
      <c r="W16" s="943">
        <v>1</v>
      </c>
      <c r="X16" s="943">
        <v>1</v>
      </c>
      <c r="Y16" s="944"/>
      <c r="Z16" s="943">
        <v>1</v>
      </c>
      <c r="AA16" s="943">
        <v>1</v>
      </c>
      <c r="AB16" s="943">
        <v>1</v>
      </c>
      <c r="AC16" s="943">
        <v>1</v>
      </c>
      <c r="AD16" s="943">
        <v>1</v>
      </c>
      <c r="AE16" s="943">
        <v>1</v>
      </c>
      <c r="AF16" s="944"/>
      <c r="AG16" s="943">
        <v>1</v>
      </c>
      <c r="AH16" s="943">
        <v>1</v>
      </c>
      <c r="AI16" s="943">
        <v>1</v>
      </c>
      <c r="AJ16" s="558">
        <f>SUM(E16:AI16)-AK16</f>
        <v>27</v>
      </c>
      <c r="AK16" s="558">
        <f>SUMIF($E$4:$AI$4,"LT",E16:AI16)</f>
        <v>0</v>
      </c>
      <c r="AL16" s="558">
        <f>COUNTIF(E16:AI16,"P")</f>
        <v>0</v>
      </c>
      <c r="AM16" s="558">
        <f>COUNTIF(E16:AI16,"LT")</f>
        <v>0</v>
      </c>
      <c r="AN16" s="263"/>
      <c r="AO16" s="263"/>
      <c r="AP16" s="263"/>
      <c r="AQ16" s="263"/>
      <c r="AR16" s="263"/>
      <c r="AS16" s="263"/>
      <c r="AT16" s="709"/>
      <c r="AU16" s="263"/>
      <c r="AV16" s="263"/>
      <c r="AW16" s="263"/>
      <c r="AX16" s="263"/>
      <c r="AY16" s="263"/>
      <c r="AZ16" s="263"/>
      <c r="BA16" s="709"/>
      <c r="BB16" s="263"/>
      <c r="BC16" s="263"/>
      <c r="BD16" s="263"/>
      <c r="BE16" s="263"/>
      <c r="BF16" s="263"/>
      <c r="BG16" s="263"/>
      <c r="BH16" s="709"/>
      <c r="BI16" s="263"/>
      <c r="BJ16" s="263"/>
      <c r="BK16" s="263"/>
      <c r="BL16" s="263"/>
      <c r="BM16" s="263"/>
      <c r="BN16" s="263"/>
      <c r="BO16" s="709"/>
      <c r="BP16" s="263"/>
      <c r="BQ16" s="263"/>
      <c r="BR16" s="263"/>
      <c r="BS16" s="530">
        <f t="shared" si="19"/>
        <v>0</v>
      </c>
      <c r="BT16" s="530">
        <f t="shared" si="20"/>
        <v>0</v>
      </c>
      <c r="BU16" s="530">
        <f t="shared" si="21"/>
        <v>0</v>
      </c>
      <c r="BV16" s="681"/>
      <c r="BW16" s="681">
        <f>COUNTIFS(AN16:BR16,"&gt;="&amp;$BW$3,$AN$4:$BR$4,"&lt;&gt;CN")</f>
        <v>0</v>
      </c>
      <c r="BX16" s="798"/>
      <c r="BY16" s="801"/>
      <c r="BZ16" s="794"/>
      <c r="CA16" s="794"/>
      <c r="CB16" s="794"/>
    </row>
    <row r="17" spans="1:80" s="799" customFormat="1" ht="21" customHeight="1">
      <c r="A17" s="809">
        <f>'BANG LUONG 1'!A17</f>
        <v>29</v>
      </c>
      <c r="B17" s="809" t="str">
        <f>'BANG LUONG 1'!B17</f>
        <v>NV29</v>
      </c>
      <c r="C17" s="809" t="str">
        <f>'BANG LUONG 1'!C17</f>
        <v>Phan Văn Bạn</v>
      </c>
      <c r="D17" s="263" t="str">
        <f>'BANG LUONG 1'!D17</f>
        <v>Lái xe cơ giới</v>
      </c>
      <c r="E17" s="943">
        <v>1</v>
      </c>
      <c r="F17" s="943">
        <v>1</v>
      </c>
      <c r="G17" s="943">
        <v>1</v>
      </c>
      <c r="H17" s="943">
        <v>1</v>
      </c>
      <c r="I17" s="943">
        <v>1</v>
      </c>
      <c r="J17" s="943">
        <v>1</v>
      </c>
      <c r="K17" s="944"/>
      <c r="L17" s="943">
        <v>1</v>
      </c>
      <c r="M17" s="943">
        <v>1</v>
      </c>
      <c r="N17" s="943">
        <v>1</v>
      </c>
      <c r="O17" s="943">
        <v>1</v>
      </c>
      <c r="P17" s="943">
        <v>1</v>
      </c>
      <c r="Q17" s="943">
        <v>1</v>
      </c>
      <c r="R17" s="944"/>
      <c r="S17" s="943">
        <v>1</v>
      </c>
      <c r="T17" s="943">
        <v>1</v>
      </c>
      <c r="U17" s="943">
        <v>1</v>
      </c>
      <c r="V17" s="943">
        <v>1</v>
      </c>
      <c r="W17" s="943">
        <v>1</v>
      </c>
      <c r="X17" s="943">
        <v>1</v>
      </c>
      <c r="Y17" s="944"/>
      <c r="Z17" s="943">
        <v>1</v>
      </c>
      <c r="AA17" s="943">
        <v>1</v>
      </c>
      <c r="AB17" s="943">
        <v>1</v>
      </c>
      <c r="AC17" s="943">
        <v>1</v>
      </c>
      <c r="AD17" s="943">
        <v>1</v>
      </c>
      <c r="AE17" s="943">
        <v>1</v>
      </c>
      <c r="AF17" s="944"/>
      <c r="AG17" s="943">
        <v>1</v>
      </c>
      <c r="AH17" s="943">
        <v>1</v>
      </c>
      <c r="AI17" s="943">
        <v>1</v>
      </c>
      <c r="AJ17" s="558">
        <f>SUM(E17:AI17)-AK17</f>
        <v>27</v>
      </c>
      <c r="AK17" s="558">
        <f>SUMIF($E$4:$AI$4,"LT",E17:AI17)</f>
        <v>0</v>
      </c>
      <c r="AL17" s="558">
        <f>COUNTIF(E17:AI17,"P")</f>
        <v>0</v>
      </c>
      <c r="AM17" s="558">
        <f>COUNTIF(E17:AI17,"LT")</f>
        <v>0</v>
      </c>
      <c r="AN17" s="263"/>
      <c r="AO17" s="263"/>
      <c r="AP17" s="263"/>
      <c r="AQ17" s="263"/>
      <c r="AR17" s="263"/>
      <c r="AS17" s="263"/>
      <c r="AT17" s="709"/>
      <c r="AU17" s="263"/>
      <c r="AV17" s="263"/>
      <c r="AW17" s="263"/>
      <c r="AX17" s="263"/>
      <c r="AY17" s="263"/>
      <c r="AZ17" s="263"/>
      <c r="BA17" s="709"/>
      <c r="BB17" s="263"/>
      <c r="BC17" s="263"/>
      <c r="BD17" s="263"/>
      <c r="BE17" s="263"/>
      <c r="BF17" s="263"/>
      <c r="BG17" s="263"/>
      <c r="BH17" s="709"/>
      <c r="BI17" s="263"/>
      <c r="BJ17" s="263"/>
      <c r="BK17" s="263"/>
      <c r="BL17" s="263"/>
      <c r="BM17" s="263"/>
      <c r="BN17" s="263"/>
      <c r="BO17" s="709"/>
      <c r="BP17" s="263"/>
      <c r="BQ17" s="263"/>
      <c r="BR17" s="263"/>
      <c r="BS17" s="530">
        <f>SUM(AN17:BR17)-BT17</f>
        <v>0</v>
      </c>
      <c r="BT17" s="530">
        <f>SUMIF($AN$4:$BR$4,"CN",AN17:BR17)</f>
        <v>0</v>
      </c>
      <c r="BU17" s="530">
        <f>SUMIF($AN$4:$BR$4,"LT",AN17:BR17)</f>
        <v>0</v>
      </c>
      <c r="BV17" s="791"/>
      <c r="BW17" s="681">
        <f>COUNTIFS(AN17:BR17,"&gt;="&amp;$BW$3,$AN$4:$BR$4,"&lt;&gt;CN")</f>
        <v>0</v>
      </c>
      <c r="BX17" s="798"/>
      <c r="BY17" s="801"/>
    </row>
    <row r="18" spans="1:80" s="711" customFormat="1">
      <c r="A18" s="709"/>
      <c r="B18" s="709"/>
      <c r="C18" s="715" t="str">
        <f>'BANG LUONG 1'!C18</f>
        <v>TÀI XẾ</v>
      </c>
      <c r="D18" s="709"/>
      <c r="E18" s="709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709"/>
      <c r="AA18" s="709"/>
      <c r="AB18" s="709"/>
      <c r="AC18" s="709"/>
      <c r="AD18" s="709"/>
      <c r="AE18" s="709"/>
      <c r="AF18" s="709"/>
      <c r="AG18" s="709"/>
      <c r="AH18" s="709"/>
      <c r="AI18" s="709"/>
      <c r="AJ18" s="709"/>
      <c r="AK18" s="709"/>
      <c r="AL18" s="709"/>
      <c r="AM18" s="709"/>
      <c r="AN18" s="263"/>
      <c r="AO18" s="263"/>
      <c r="AP18" s="263"/>
      <c r="AQ18" s="263"/>
      <c r="AR18" s="263"/>
      <c r="AS18" s="263"/>
      <c r="AT18" s="709"/>
      <c r="AU18" s="263"/>
      <c r="AV18" s="263"/>
      <c r="AW18" s="263"/>
      <c r="AX18" s="263"/>
      <c r="AY18" s="263"/>
      <c r="AZ18" s="263"/>
      <c r="BA18" s="709"/>
      <c r="BB18" s="263"/>
      <c r="BC18" s="263"/>
      <c r="BD18" s="263"/>
      <c r="BE18" s="263"/>
      <c r="BF18" s="263"/>
      <c r="BG18" s="263"/>
      <c r="BH18" s="709"/>
      <c r="BI18" s="263"/>
      <c r="BJ18" s="263"/>
      <c r="BK18" s="263"/>
      <c r="BL18" s="263"/>
      <c r="BM18" s="263"/>
      <c r="BN18" s="263"/>
      <c r="BO18" s="709"/>
      <c r="BP18" s="263"/>
      <c r="BQ18" s="263"/>
      <c r="BR18" s="263"/>
      <c r="BS18" s="709"/>
      <c r="BT18" s="709"/>
      <c r="BU18" s="709"/>
      <c r="BV18" s="709"/>
      <c r="BW18" s="709"/>
      <c r="BX18" s="745"/>
    </row>
    <row r="19" spans="1:80" s="801" customFormat="1" ht="20.25" customHeight="1">
      <c r="A19" s="263">
        <f>'BANG LUONG 1'!A19</f>
        <v>13</v>
      </c>
      <c r="B19" s="263" t="str">
        <f>'BANG LUONG 1'!B19</f>
        <v>NV13</v>
      </c>
      <c r="C19" s="263" t="str">
        <f>'BANG LUONG 1'!C19</f>
        <v>Triệu Minh Tú</v>
      </c>
      <c r="D19" s="263" t="str">
        <f>'BANG LUONG 1'!D19</f>
        <v>Lái xe cơ giới</v>
      </c>
      <c r="E19" s="943">
        <v>1</v>
      </c>
      <c r="F19" s="943">
        <v>1</v>
      </c>
      <c r="G19" s="943">
        <v>1</v>
      </c>
      <c r="H19" s="943">
        <v>1</v>
      </c>
      <c r="I19" s="943">
        <v>1</v>
      </c>
      <c r="J19" s="943">
        <v>1</v>
      </c>
      <c r="K19" s="944"/>
      <c r="L19" s="943">
        <v>1</v>
      </c>
      <c r="M19" s="943">
        <v>1</v>
      </c>
      <c r="N19" s="943">
        <v>1</v>
      </c>
      <c r="O19" s="943">
        <v>1</v>
      </c>
      <c r="P19" s="943">
        <v>1</v>
      </c>
      <c r="Q19" s="943">
        <v>1</v>
      </c>
      <c r="R19" s="944"/>
      <c r="S19" s="943">
        <v>1</v>
      </c>
      <c r="T19" s="943">
        <v>1</v>
      </c>
      <c r="U19" s="943">
        <v>1</v>
      </c>
      <c r="V19" s="943">
        <v>1</v>
      </c>
      <c r="W19" s="943">
        <v>1</v>
      </c>
      <c r="X19" s="943">
        <v>1</v>
      </c>
      <c r="Y19" s="944"/>
      <c r="Z19" s="943">
        <v>1</v>
      </c>
      <c r="AA19" s="943">
        <v>1</v>
      </c>
      <c r="AB19" s="943">
        <v>1</v>
      </c>
      <c r="AC19" s="943">
        <v>1</v>
      </c>
      <c r="AD19" s="943">
        <v>1</v>
      </c>
      <c r="AE19" s="943">
        <v>1</v>
      </c>
      <c r="AF19" s="944"/>
      <c r="AG19" s="943">
        <v>1</v>
      </c>
      <c r="AH19" s="943">
        <v>1</v>
      </c>
      <c r="AI19" s="943">
        <v>1</v>
      </c>
      <c r="AJ19" s="558">
        <f>SUM(E19:AI19)-AK19</f>
        <v>27</v>
      </c>
      <c r="AK19" s="558">
        <f>SUMIF($E$4:$AI$4,"LT",E19:AI19)</f>
        <v>0</v>
      </c>
      <c r="AL19" s="558">
        <f>COUNTIF(E19:AI19,"P")</f>
        <v>0</v>
      </c>
      <c r="AM19" s="558">
        <f>COUNTIF(E19:AI19,"LT")</f>
        <v>0</v>
      </c>
      <c r="AN19" s="263"/>
      <c r="AO19" s="263"/>
      <c r="AP19" s="263"/>
      <c r="AQ19" s="263"/>
      <c r="AR19" s="263"/>
      <c r="AS19" s="263"/>
      <c r="AT19" s="709"/>
      <c r="AU19" s="263"/>
      <c r="AV19" s="263"/>
      <c r="AW19" s="263"/>
      <c r="AX19" s="263"/>
      <c r="AZ19" s="263"/>
      <c r="BA19" s="709"/>
      <c r="BB19" s="263"/>
      <c r="BC19" s="263"/>
      <c r="BD19" s="263"/>
      <c r="BE19" s="263"/>
      <c r="BF19" s="263"/>
      <c r="BG19" s="263"/>
      <c r="BH19" s="709"/>
      <c r="BI19" s="263"/>
      <c r="BJ19" s="263"/>
      <c r="BK19" s="263"/>
      <c r="BL19" s="263"/>
      <c r="BM19" s="263"/>
      <c r="BN19" s="263"/>
      <c r="BO19" s="709"/>
      <c r="BP19" s="263"/>
      <c r="BQ19" s="263"/>
      <c r="BR19" s="263"/>
      <c r="BS19" s="530">
        <f t="shared" ref="BS19:BS23" si="22">SUM(AN19:BR19)-BT19</f>
        <v>0</v>
      </c>
      <c r="BT19" s="530">
        <f t="shared" ref="BT19:BT23" si="23">SUMIF($AN$4:$BR$4,"CN",AN19:BR19)</f>
        <v>0</v>
      </c>
      <c r="BU19" s="530">
        <f t="shared" ref="BU19:BU23" si="24">SUMIF($AN$4:$BR$4,"LT",AN19:BR19)</f>
        <v>0</v>
      </c>
      <c r="BV19" s="791"/>
      <c r="BW19" s="681">
        <f t="shared" ref="BW19:BW23" si="25">COUNTIFS(AN19:BR19,"&gt;="&amp;$BW$3,$AN$4:$BR$4,"&lt;&gt;CN")</f>
        <v>0</v>
      </c>
      <c r="BX19" s="798">
        <f>+AJ19*8+BS19+BT19+AK19*8</f>
        <v>216</v>
      </c>
      <c r="BY19" s="801">
        <f>+BX19/2</f>
        <v>108</v>
      </c>
      <c r="BZ19" s="828"/>
    </row>
    <row r="20" spans="1:80" s="801" customFormat="1" ht="20.25" customHeight="1">
      <c r="A20" s="263">
        <f>'BANG LUONG 1'!A20</f>
        <v>14</v>
      </c>
      <c r="B20" s="263" t="str">
        <f>'BANG LUONG 1'!B20</f>
        <v>NV14</v>
      </c>
      <c r="C20" s="263" t="str">
        <f>'BANG LUONG 1'!C20</f>
        <v>Nguyễn Văn Chạy</v>
      </c>
      <c r="D20" s="263" t="str">
        <f>'BANG LUONG 1'!D20</f>
        <v>Lái xe cơ giới</v>
      </c>
      <c r="E20" s="943">
        <v>1</v>
      </c>
      <c r="F20" s="943">
        <v>1</v>
      </c>
      <c r="G20" s="943">
        <v>1</v>
      </c>
      <c r="H20" s="943">
        <v>1</v>
      </c>
      <c r="I20" s="943">
        <v>1</v>
      </c>
      <c r="J20" s="943">
        <v>1</v>
      </c>
      <c r="K20" s="944"/>
      <c r="L20" s="943">
        <v>1</v>
      </c>
      <c r="M20" s="943">
        <v>1</v>
      </c>
      <c r="N20" s="943">
        <v>1</v>
      </c>
      <c r="O20" s="943">
        <v>1</v>
      </c>
      <c r="P20" s="943">
        <v>1</v>
      </c>
      <c r="Q20" s="943">
        <v>1</v>
      </c>
      <c r="R20" s="944"/>
      <c r="S20" s="943">
        <v>1</v>
      </c>
      <c r="T20" s="943">
        <v>1</v>
      </c>
      <c r="U20" s="943">
        <v>1</v>
      </c>
      <c r="V20" s="943">
        <v>1</v>
      </c>
      <c r="W20" s="943">
        <v>1</v>
      </c>
      <c r="X20" s="943">
        <v>1</v>
      </c>
      <c r="Y20" s="944"/>
      <c r="Z20" s="943">
        <v>1</v>
      </c>
      <c r="AA20" s="943">
        <v>1</v>
      </c>
      <c r="AB20" s="943">
        <v>1</v>
      </c>
      <c r="AC20" s="943">
        <v>1</v>
      </c>
      <c r="AD20" s="943">
        <v>1</v>
      </c>
      <c r="AE20" s="943">
        <v>1</v>
      </c>
      <c r="AF20" s="944"/>
      <c r="AG20" s="943">
        <v>1</v>
      </c>
      <c r="AH20" s="943">
        <v>1</v>
      </c>
      <c r="AI20" s="943">
        <v>1</v>
      </c>
      <c r="AJ20" s="558">
        <f t="shared" ref="AJ20:AJ35" si="26">SUM(E20:AI20)-AK20</f>
        <v>27</v>
      </c>
      <c r="AK20" s="558">
        <f t="shared" ref="AK20:AK35" si="27">SUMIF($E$4:$AI$4,"LT",E20:AI20)</f>
        <v>0</v>
      </c>
      <c r="AL20" s="558">
        <f t="shared" ref="AL20:AL35" si="28">COUNTIF(E20:AI20,"P")</f>
        <v>0</v>
      </c>
      <c r="AM20" s="558">
        <f t="shared" ref="AM20:AM35" si="29">COUNTIF(E20:AI20,"LT")</f>
        <v>0</v>
      </c>
      <c r="AN20" s="263"/>
      <c r="AO20" s="263"/>
      <c r="AP20" s="263"/>
      <c r="AQ20" s="263"/>
      <c r="AR20" s="263"/>
      <c r="AS20" s="263"/>
      <c r="AT20" s="709"/>
      <c r="AU20" s="263"/>
      <c r="AV20" s="263"/>
      <c r="AW20" s="263"/>
      <c r="AX20" s="263"/>
      <c r="AY20" s="263"/>
      <c r="AZ20" s="263"/>
      <c r="BA20" s="709"/>
      <c r="BB20" s="263"/>
      <c r="BC20" s="263"/>
      <c r="BD20" s="263"/>
      <c r="BE20" s="263"/>
      <c r="BF20" s="263"/>
      <c r="BG20" s="263"/>
      <c r="BH20" s="709"/>
      <c r="BI20" s="263"/>
      <c r="BJ20" s="263"/>
      <c r="BK20" s="263"/>
      <c r="BL20" s="263"/>
      <c r="BM20" s="263"/>
      <c r="BN20" s="263"/>
      <c r="BO20" s="709"/>
      <c r="BP20" s="263"/>
      <c r="BQ20" s="263"/>
      <c r="BR20" s="263"/>
      <c r="BS20" s="530">
        <f t="shared" si="22"/>
        <v>0</v>
      </c>
      <c r="BT20" s="530">
        <f t="shared" si="23"/>
        <v>0</v>
      </c>
      <c r="BU20" s="530">
        <f t="shared" si="24"/>
        <v>0</v>
      </c>
      <c r="BV20" s="791"/>
      <c r="BW20" s="681">
        <f t="shared" si="25"/>
        <v>0</v>
      </c>
      <c r="BX20" s="798">
        <f t="shared" ref="BX20:BX50" si="30">+AJ20*8+BS20+BT20+AK20*8</f>
        <v>216</v>
      </c>
      <c r="BY20" s="801">
        <f t="shared" ref="BY20:BY46" si="31">+BX20/2</f>
        <v>108</v>
      </c>
    </row>
    <row r="21" spans="1:80" s="792" customFormat="1" ht="20.25" customHeight="1">
      <c r="A21" s="263">
        <f>'BANG LUONG 1'!A21</f>
        <v>15</v>
      </c>
      <c r="B21" s="263" t="str">
        <f>'BANG LUONG 1'!B21</f>
        <v>NV15</v>
      </c>
      <c r="C21" s="263" t="str">
        <f>'BANG LUONG 1'!C21</f>
        <v>Hà Hoàng Hùng</v>
      </c>
      <c r="D21" s="263" t="str">
        <f>'BANG LUONG 1'!D21</f>
        <v>Lái xe cơ giới</v>
      </c>
      <c r="E21" s="943">
        <v>1</v>
      </c>
      <c r="F21" s="943">
        <v>1</v>
      </c>
      <c r="G21" s="943">
        <v>1</v>
      </c>
      <c r="H21" s="943">
        <v>1</v>
      </c>
      <c r="I21" s="943">
        <v>1</v>
      </c>
      <c r="J21" s="943">
        <v>1</v>
      </c>
      <c r="K21" s="944"/>
      <c r="L21" s="943">
        <v>1</v>
      </c>
      <c r="M21" s="943">
        <v>1</v>
      </c>
      <c r="N21" s="943">
        <v>1</v>
      </c>
      <c r="O21" s="943">
        <v>1</v>
      </c>
      <c r="P21" s="943">
        <v>1</v>
      </c>
      <c r="Q21" s="943">
        <v>1</v>
      </c>
      <c r="R21" s="944"/>
      <c r="S21" s="943">
        <v>1</v>
      </c>
      <c r="T21" s="943">
        <v>1</v>
      </c>
      <c r="U21" s="943">
        <v>1</v>
      </c>
      <c r="V21" s="943">
        <v>1</v>
      </c>
      <c r="W21" s="943">
        <v>1</v>
      </c>
      <c r="X21" s="943">
        <v>1</v>
      </c>
      <c r="Y21" s="944"/>
      <c r="Z21" s="943">
        <v>1</v>
      </c>
      <c r="AA21" s="943">
        <v>1</v>
      </c>
      <c r="AB21" s="943">
        <v>1</v>
      </c>
      <c r="AC21" s="943">
        <v>1</v>
      </c>
      <c r="AD21" s="943">
        <v>1</v>
      </c>
      <c r="AE21" s="943">
        <v>1</v>
      </c>
      <c r="AF21" s="944"/>
      <c r="AG21" s="943">
        <v>1</v>
      </c>
      <c r="AH21" s="943">
        <v>1</v>
      </c>
      <c r="AI21" s="943">
        <v>1</v>
      </c>
      <c r="AJ21" s="558">
        <f t="shared" si="26"/>
        <v>27</v>
      </c>
      <c r="AK21" s="558">
        <f t="shared" si="27"/>
        <v>0</v>
      </c>
      <c r="AL21" s="558">
        <f t="shared" si="28"/>
        <v>0</v>
      </c>
      <c r="AM21" s="558">
        <f t="shared" si="29"/>
        <v>0</v>
      </c>
      <c r="AN21" s="263"/>
      <c r="AO21" s="263"/>
      <c r="AP21" s="263"/>
      <c r="AQ21" s="263"/>
      <c r="AR21" s="263"/>
      <c r="AS21" s="263"/>
      <c r="AT21" s="709"/>
      <c r="AU21" s="263"/>
      <c r="AV21" s="263"/>
      <c r="AW21" s="263"/>
      <c r="AX21" s="263"/>
      <c r="AY21" s="263"/>
      <c r="AZ21" s="263"/>
      <c r="BA21" s="709"/>
      <c r="BB21" s="263"/>
      <c r="BC21" s="263"/>
      <c r="BD21" s="263"/>
      <c r="BE21" s="263"/>
      <c r="BF21" s="263"/>
      <c r="BG21" s="263"/>
      <c r="BH21" s="709"/>
      <c r="BI21" s="263"/>
      <c r="BJ21" s="263"/>
      <c r="BK21" s="263"/>
      <c r="BL21" s="263"/>
      <c r="BM21" s="263"/>
      <c r="BN21" s="263"/>
      <c r="BO21" s="709"/>
      <c r="BP21" s="263"/>
      <c r="BQ21" s="263"/>
      <c r="BR21" s="263"/>
      <c r="BS21" s="530">
        <f t="shared" si="22"/>
        <v>0</v>
      </c>
      <c r="BT21" s="530">
        <f t="shared" si="23"/>
        <v>0</v>
      </c>
      <c r="BU21" s="530">
        <f t="shared" si="24"/>
        <v>0</v>
      </c>
      <c r="BV21" s="791"/>
      <c r="BW21" s="681">
        <f t="shared" si="25"/>
        <v>0</v>
      </c>
      <c r="BX21" s="798">
        <f t="shared" si="30"/>
        <v>216</v>
      </c>
      <c r="BY21" s="801">
        <f t="shared" si="31"/>
        <v>108</v>
      </c>
    </row>
    <row r="22" spans="1:80" s="801" customFormat="1" ht="20.25" customHeight="1">
      <c r="A22" s="263">
        <f>'BANG LUONG 1'!A22</f>
        <v>16</v>
      </c>
      <c r="B22" s="263" t="str">
        <f>'BANG LUONG 1'!B22</f>
        <v>NV16</v>
      </c>
      <c r="C22" s="263" t="str">
        <f>'BANG LUONG 1'!C22</f>
        <v>Châu Thành Nhân</v>
      </c>
      <c r="D22" s="263" t="str">
        <f>'BANG LUONG 1'!D22</f>
        <v>Lái xe cơ giới</v>
      </c>
      <c r="E22" s="943">
        <v>1</v>
      </c>
      <c r="F22" s="943">
        <v>1</v>
      </c>
      <c r="G22" s="943">
        <v>1</v>
      </c>
      <c r="H22" s="943">
        <v>1</v>
      </c>
      <c r="I22" s="943">
        <v>1</v>
      </c>
      <c r="J22" s="943">
        <v>1</v>
      </c>
      <c r="K22" s="944"/>
      <c r="L22" s="943">
        <v>1</v>
      </c>
      <c r="M22" s="943">
        <v>1</v>
      </c>
      <c r="N22" s="943">
        <v>1</v>
      </c>
      <c r="O22" s="943">
        <v>1</v>
      </c>
      <c r="P22" s="943">
        <v>1</v>
      </c>
      <c r="Q22" s="943">
        <v>1</v>
      </c>
      <c r="R22" s="944"/>
      <c r="S22" s="943">
        <v>1</v>
      </c>
      <c r="T22" s="943">
        <v>1</v>
      </c>
      <c r="U22" s="943">
        <v>1</v>
      </c>
      <c r="V22" s="943">
        <v>1</v>
      </c>
      <c r="W22" s="943">
        <v>1</v>
      </c>
      <c r="X22" s="943">
        <v>1</v>
      </c>
      <c r="Y22" s="944"/>
      <c r="Z22" s="943">
        <v>1</v>
      </c>
      <c r="AA22" s="943">
        <v>1</v>
      </c>
      <c r="AB22" s="943">
        <v>1</v>
      </c>
      <c r="AC22" s="943">
        <v>1</v>
      </c>
      <c r="AD22" s="943">
        <v>1</v>
      </c>
      <c r="AE22" s="943">
        <v>1</v>
      </c>
      <c r="AF22" s="944"/>
      <c r="AG22" s="943">
        <v>1</v>
      </c>
      <c r="AH22" s="943">
        <v>1</v>
      </c>
      <c r="AI22" s="943">
        <v>1</v>
      </c>
      <c r="AJ22" s="558">
        <f t="shared" si="26"/>
        <v>27</v>
      </c>
      <c r="AK22" s="558">
        <f t="shared" si="27"/>
        <v>0</v>
      </c>
      <c r="AL22" s="558">
        <f t="shared" si="28"/>
        <v>0</v>
      </c>
      <c r="AM22" s="558">
        <f t="shared" si="29"/>
        <v>0</v>
      </c>
      <c r="AN22" s="263"/>
      <c r="AO22" s="263"/>
      <c r="AP22" s="263"/>
      <c r="AQ22" s="263"/>
      <c r="AR22" s="263"/>
      <c r="AS22" s="263"/>
      <c r="AT22" s="709"/>
      <c r="AU22" s="263"/>
      <c r="AV22" s="263"/>
      <c r="AW22" s="263"/>
      <c r="AX22" s="263"/>
      <c r="AY22" s="263"/>
      <c r="AZ22" s="263"/>
      <c r="BA22" s="709"/>
      <c r="BB22" s="263"/>
      <c r="BC22" s="263"/>
      <c r="BD22" s="263"/>
      <c r="BE22" s="263"/>
      <c r="BF22" s="263"/>
      <c r="BG22" s="263"/>
      <c r="BH22" s="709"/>
      <c r="BI22" s="263"/>
      <c r="BJ22" s="263"/>
      <c r="BK22" s="263"/>
      <c r="BL22" s="263"/>
      <c r="BM22" s="263"/>
      <c r="BN22" s="263"/>
      <c r="BO22" s="709"/>
      <c r="BP22" s="263"/>
      <c r="BQ22" s="263"/>
      <c r="BR22" s="263"/>
      <c r="BS22" s="530">
        <f t="shared" si="22"/>
        <v>0</v>
      </c>
      <c r="BT22" s="530">
        <f t="shared" si="23"/>
        <v>0</v>
      </c>
      <c r="BU22" s="530">
        <f t="shared" si="24"/>
        <v>0</v>
      </c>
      <c r="BV22" s="791"/>
      <c r="BW22" s="681">
        <f t="shared" si="25"/>
        <v>0</v>
      </c>
      <c r="BX22" s="798">
        <f t="shared" si="30"/>
        <v>216</v>
      </c>
      <c r="BY22" s="801">
        <f t="shared" si="31"/>
        <v>108</v>
      </c>
    </row>
    <row r="23" spans="1:80" s="792" customFormat="1" ht="20.25" customHeight="1">
      <c r="A23" s="263">
        <f>'BANG LUONG 1'!A23</f>
        <v>18</v>
      </c>
      <c r="B23" s="263" t="str">
        <f>'BANG LUONG 1'!B23</f>
        <v>NV18</v>
      </c>
      <c r="C23" s="263" t="str">
        <f>'BANG LUONG 1'!C23</f>
        <v>Châu Văn Phước</v>
      </c>
      <c r="D23" s="263" t="str">
        <f>'BANG LUONG 1'!D23</f>
        <v>Lái xe cơ giới</v>
      </c>
      <c r="E23" s="943">
        <v>1</v>
      </c>
      <c r="F23" s="943">
        <v>1</v>
      </c>
      <c r="G23" s="943">
        <v>1</v>
      </c>
      <c r="H23" s="943">
        <v>1</v>
      </c>
      <c r="I23" s="943">
        <v>1</v>
      </c>
      <c r="J23" s="943">
        <v>1</v>
      </c>
      <c r="K23" s="944"/>
      <c r="L23" s="943">
        <v>1</v>
      </c>
      <c r="M23" s="943">
        <v>1</v>
      </c>
      <c r="N23" s="943">
        <v>1</v>
      </c>
      <c r="O23" s="943">
        <v>1</v>
      </c>
      <c r="P23" s="943">
        <v>1</v>
      </c>
      <c r="Q23" s="943">
        <v>1</v>
      </c>
      <c r="R23" s="944"/>
      <c r="S23" s="943">
        <v>1</v>
      </c>
      <c r="T23" s="943">
        <v>1</v>
      </c>
      <c r="U23" s="943">
        <v>1</v>
      </c>
      <c r="V23" s="943">
        <v>1</v>
      </c>
      <c r="W23" s="943">
        <v>1</v>
      </c>
      <c r="X23" s="943">
        <v>1</v>
      </c>
      <c r="Y23" s="944"/>
      <c r="Z23" s="943">
        <v>1</v>
      </c>
      <c r="AA23" s="943">
        <v>1</v>
      </c>
      <c r="AB23" s="943">
        <v>1</v>
      </c>
      <c r="AC23" s="943">
        <v>1</v>
      </c>
      <c r="AD23" s="943">
        <v>1</v>
      </c>
      <c r="AE23" s="943">
        <v>1</v>
      </c>
      <c r="AF23" s="944"/>
      <c r="AG23" s="943">
        <v>1</v>
      </c>
      <c r="AH23" s="943">
        <v>1</v>
      </c>
      <c r="AI23" s="943">
        <v>1</v>
      </c>
      <c r="AJ23" s="558">
        <f t="shared" si="26"/>
        <v>27</v>
      </c>
      <c r="AK23" s="558">
        <f t="shared" si="27"/>
        <v>0</v>
      </c>
      <c r="AL23" s="558">
        <f t="shared" si="28"/>
        <v>0</v>
      </c>
      <c r="AM23" s="558">
        <f t="shared" si="29"/>
        <v>0</v>
      </c>
      <c r="AN23" s="263"/>
      <c r="AO23" s="263"/>
      <c r="AP23" s="263"/>
      <c r="AQ23" s="263"/>
      <c r="AR23" s="263"/>
      <c r="AS23" s="263"/>
      <c r="AT23" s="709"/>
      <c r="AU23" s="263"/>
      <c r="AV23" s="263"/>
      <c r="AW23" s="263"/>
      <c r="AX23" s="263"/>
      <c r="AY23" s="263"/>
      <c r="AZ23" s="263"/>
      <c r="BA23" s="709"/>
      <c r="BB23" s="263"/>
      <c r="BC23" s="263"/>
      <c r="BD23" s="263"/>
      <c r="BE23" s="263"/>
      <c r="BF23" s="263"/>
      <c r="BG23" s="263"/>
      <c r="BH23" s="709"/>
      <c r="BI23" s="263"/>
      <c r="BJ23" s="263"/>
      <c r="BK23" s="263"/>
      <c r="BL23" s="263"/>
      <c r="BM23" s="263"/>
      <c r="BN23" s="263"/>
      <c r="BO23" s="709"/>
      <c r="BP23" s="263"/>
      <c r="BQ23" s="263"/>
      <c r="BR23" s="263"/>
      <c r="BS23" s="530">
        <f t="shared" si="22"/>
        <v>0</v>
      </c>
      <c r="BT23" s="530">
        <f t="shared" si="23"/>
        <v>0</v>
      </c>
      <c r="BU23" s="530">
        <f t="shared" si="24"/>
        <v>0</v>
      </c>
      <c r="BV23" s="791"/>
      <c r="BW23" s="681">
        <f t="shared" si="25"/>
        <v>0</v>
      </c>
      <c r="BX23" s="798">
        <f t="shared" si="30"/>
        <v>216</v>
      </c>
      <c r="BY23" s="801">
        <f t="shared" si="31"/>
        <v>108</v>
      </c>
      <c r="BZ23" s="825"/>
    </row>
    <row r="24" spans="1:80" s="792" customFormat="1" ht="20.25" customHeight="1">
      <c r="A24" s="263">
        <f>'BANG LUONG 1'!A24</f>
        <v>19</v>
      </c>
      <c r="B24" s="263" t="str">
        <f>'BANG LUONG 1'!B24</f>
        <v>NV19</v>
      </c>
      <c r="C24" s="263" t="str">
        <f>'BANG LUONG 1'!C24</f>
        <v>Thạch Giàu</v>
      </c>
      <c r="D24" s="263" t="str">
        <f>'BANG LUONG 1'!D24</f>
        <v>Lái xe cơ giới</v>
      </c>
      <c r="E24" s="943">
        <v>1</v>
      </c>
      <c r="F24" s="943">
        <v>1</v>
      </c>
      <c r="G24" s="943">
        <v>1</v>
      </c>
      <c r="H24" s="943">
        <v>1</v>
      </c>
      <c r="I24" s="943">
        <v>1</v>
      </c>
      <c r="J24" s="943">
        <v>1</v>
      </c>
      <c r="K24" s="944"/>
      <c r="L24" s="943">
        <v>1</v>
      </c>
      <c r="M24" s="943">
        <v>1</v>
      </c>
      <c r="N24" s="943">
        <v>1</v>
      </c>
      <c r="O24" s="943">
        <v>1</v>
      </c>
      <c r="P24" s="943">
        <v>1</v>
      </c>
      <c r="Q24" s="943">
        <v>1</v>
      </c>
      <c r="R24" s="944"/>
      <c r="S24" s="943">
        <v>1</v>
      </c>
      <c r="T24" s="943">
        <v>1</v>
      </c>
      <c r="U24" s="943">
        <v>1</v>
      </c>
      <c r="V24" s="943">
        <v>1</v>
      </c>
      <c r="W24" s="943">
        <v>1</v>
      </c>
      <c r="X24" s="943">
        <v>1</v>
      </c>
      <c r="Y24" s="944"/>
      <c r="Z24" s="943">
        <v>1</v>
      </c>
      <c r="AA24" s="943">
        <v>1</v>
      </c>
      <c r="AB24" s="943">
        <v>1</v>
      </c>
      <c r="AC24" s="943">
        <v>1</v>
      </c>
      <c r="AD24" s="943">
        <v>1</v>
      </c>
      <c r="AE24" s="943">
        <v>1</v>
      </c>
      <c r="AF24" s="944"/>
      <c r="AG24" s="943">
        <v>1</v>
      </c>
      <c r="AH24" s="943">
        <v>1</v>
      </c>
      <c r="AI24" s="943">
        <v>1</v>
      </c>
      <c r="AJ24" s="558">
        <f t="shared" si="26"/>
        <v>27</v>
      </c>
      <c r="AK24" s="558">
        <f t="shared" si="27"/>
        <v>0</v>
      </c>
      <c r="AL24" s="558">
        <f t="shared" si="28"/>
        <v>0</v>
      </c>
      <c r="AM24" s="558">
        <f t="shared" si="29"/>
        <v>0</v>
      </c>
      <c r="AN24" s="263"/>
      <c r="AO24" s="263"/>
      <c r="AP24" s="263"/>
      <c r="AQ24" s="263"/>
      <c r="AR24" s="263"/>
      <c r="AS24" s="263"/>
      <c r="AT24" s="709"/>
      <c r="AU24" s="263"/>
      <c r="AV24" s="263"/>
      <c r="AW24" s="263"/>
      <c r="AX24" s="263"/>
      <c r="AY24" s="263"/>
      <c r="AZ24" s="263"/>
      <c r="BA24" s="709"/>
      <c r="BB24" s="263"/>
      <c r="BC24" s="263"/>
      <c r="BD24" s="263"/>
      <c r="BE24" s="263"/>
      <c r="BF24" s="263"/>
      <c r="BG24" s="263"/>
      <c r="BH24" s="709"/>
      <c r="BI24" s="263"/>
      <c r="BJ24" s="263"/>
      <c r="BK24" s="263"/>
      <c r="BL24" s="263"/>
      <c r="BM24" s="263"/>
      <c r="BN24" s="263"/>
      <c r="BO24" s="709"/>
      <c r="BP24" s="263"/>
      <c r="BQ24" s="263"/>
      <c r="BR24" s="263"/>
      <c r="BS24" s="530">
        <f t="shared" ref="BS24:BS37" si="32">SUM(AN24:BR24)-BT24</f>
        <v>0</v>
      </c>
      <c r="BT24" s="530">
        <f t="shared" ref="BT24:BT37" si="33">SUMIF($AN$4:$BR$4,"CN",AN24:BR24)</f>
        <v>0</v>
      </c>
      <c r="BU24" s="530">
        <f t="shared" ref="BU24:BU37" si="34">SUMIF($AN$4:$BR$4,"LT",AN24:BR24)</f>
        <v>0</v>
      </c>
      <c r="BV24" s="791"/>
      <c r="BW24" s="681">
        <f t="shared" ref="BW24:BW37" si="35">COUNTIFS(AN24:BR24,"&gt;="&amp;$BW$3,$AN$4:$BR$4,"&lt;&gt;CN")</f>
        <v>0</v>
      </c>
      <c r="BX24" s="798">
        <f t="shared" si="30"/>
        <v>216</v>
      </c>
      <c r="BY24" s="801">
        <f t="shared" si="31"/>
        <v>108</v>
      </c>
      <c r="BZ24" s="828"/>
      <c r="CA24" s="801"/>
      <c r="CB24" s="801"/>
    </row>
    <row r="25" spans="1:80" s="792" customFormat="1" ht="20.25" customHeight="1">
      <c r="A25" s="810">
        <f>'BANG LUONG 1'!A25</f>
        <v>20</v>
      </c>
      <c r="B25" s="810" t="str">
        <f>'BANG LUONG 1'!B25</f>
        <v>NV20</v>
      </c>
      <c r="C25" s="810" t="str">
        <f>'BANG LUONG 1'!C25</f>
        <v>Trần Thanh Hậu</v>
      </c>
      <c r="D25" s="263" t="str">
        <f>'BANG LUONG 1'!D25</f>
        <v>Lái xe cơ giới</v>
      </c>
      <c r="E25" s="943">
        <v>1</v>
      </c>
      <c r="F25" s="943">
        <v>1</v>
      </c>
      <c r="G25" s="943">
        <v>1</v>
      </c>
      <c r="H25" s="943">
        <v>1</v>
      </c>
      <c r="I25" s="943">
        <v>1</v>
      </c>
      <c r="J25" s="943">
        <v>1</v>
      </c>
      <c r="K25" s="944"/>
      <c r="L25" s="943">
        <v>1</v>
      </c>
      <c r="M25" s="943">
        <v>1</v>
      </c>
      <c r="N25" s="943">
        <v>1</v>
      </c>
      <c r="O25" s="943">
        <v>1</v>
      </c>
      <c r="P25" s="943">
        <v>1</v>
      </c>
      <c r="Q25" s="943">
        <v>1</v>
      </c>
      <c r="R25" s="944"/>
      <c r="S25" s="943">
        <v>1</v>
      </c>
      <c r="T25" s="943">
        <v>1</v>
      </c>
      <c r="U25" s="943">
        <v>1</v>
      </c>
      <c r="V25" s="943">
        <v>1</v>
      </c>
      <c r="W25" s="943">
        <v>1</v>
      </c>
      <c r="X25" s="943">
        <v>1</v>
      </c>
      <c r="Y25" s="944"/>
      <c r="Z25" s="943">
        <v>1</v>
      </c>
      <c r="AA25" s="943">
        <v>1</v>
      </c>
      <c r="AB25" s="943">
        <v>1</v>
      </c>
      <c r="AC25" s="943">
        <v>1</v>
      </c>
      <c r="AD25" s="943">
        <v>1</v>
      </c>
      <c r="AE25" s="943">
        <v>1</v>
      </c>
      <c r="AF25" s="944"/>
      <c r="AG25" s="943">
        <v>1</v>
      </c>
      <c r="AH25" s="943">
        <v>1</v>
      </c>
      <c r="AI25" s="943">
        <v>1</v>
      </c>
      <c r="AJ25" s="558">
        <f t="shared" si="26"/>
        <v>27</v>
      </c>
      <c r="AK25" s="558">
        <f t="shared" si="27"/>
        <v>0</v>
      </c>
      <c r="AL25" s="558">
        <f t="shared" si="28"/>
        <v>0</v>
      </c>
      <c r="AM25" s="558">
        <f t="shared" si="29"/>
        <v>0</v>
      </c>
      <c r="AN25" s="263"/>
      <c r="AO25" s="263"/>
      <c r="AP25" s="263"/>
      <c r="AQ25" s="263"/>
      <c r="AR25" s="263"/>
      <c r="AS25" s="263"/>
      <c r="AT25" s="709"/>
      <c r="AU25" s="263"/>
      <c r="AV25" s="263"/>
      <c r="AW25" s="263"/>
      <c r="AX25" s="263"/>
      <c r="AY25" s="263"/>
      <c r="AZ25" s="263"/>
      <c r="BA25" s="709"/>
      <c r="BB25" s="263"/>
      <c r="BC25" s="263"/>
      <c r="BD25" s="263"/>
      <c r="BE25" s="263"/>
      <c r="BF25" s="263"/>
      <c r="BG25" s="263"/>
      <c r="BH25" s="709"/>
      <c r="BI25" s="263"/>
      <c r="BJ25" s="263"/>
      <c r="BK25" s="263"/>
      <c r="BL25" s="263"/>
      <c r="BM25" s="263"/>
      <c r="BN25" s="263"/>
      <c r="BO25" s="709"/>
      <c r="BP25" s="263"/>
      <c r="BQ25" s="263"/>
      <c r="BR25" s="263"/>
      <c r="BS25" s="530">
        <f t="shared" si="32"/>
        <v>0</v>
      </c>
      <c r="BT25" s="530">
        <f t="shared" si="33"/>
        <v>0</v>
      </c>
      <c r="BU25" s="530">
        <f t="shared" si="34"/>
        <v>0</v>
      </c>
      <c r="BV25" s="791"/>
      <c r="BW25" s="681">
        <f t="shared" si="35"/>
        <v>0</v>
      </c>
      <c r="BX25" s="798">
        <f t="shared" si="30"/>
        <v>216</v>
      </c>
      <c r="BY25" s="801">
        <f t="shared" si="31"/>
        <v>108</v>
      </c>
      <c r="BZ25" s="828"/>
      <c r="CA25" s="828"/>
      <c r="CB25" s="801"/>
    </row>
    <row r="26" spans="1:80" s="799" customFormat="1" ht="21" customHeight="1">
      <c r="A26" s="810">
        <f>'BANG LUONG 1'!A26</f>
        <v>21</v>
      </c>
      <c r="B26" s="810" t="str">
        <f>'BANG LUONG 1'!B26</f>
        <v>NV21</v>
      </c>
      <c r="C26" s="810" t="str">
        <f>'BANG LUONG 1'!C26</f>
        <v xml:space="preserve">Trần Văn Thứ </v>
      </c>
      <c r="D26" s="263" t="str">
        <f>'BANG LUONG 1'!D26</f>
        <v>Lái xe cơ giới</v>
      </c>
      <c r="E26" s="943">
        <v>1</v>
      </c>
      <c r="F26" s="943">
        <v>1</v>
      </c>
      <c r="G26" s="943">
        <v>1</v>
      </c>
      <c r="H26" s="943">
        <v>1</v>
      </c>
      <c r="I26" s="943">
        <v>1</v>
      </c>
      <c r="J26" s="943">
        <v>1</v>
      </c>
      <c r="K26" s="944"/>
      <c r="L26" s="943">
        <v>1</v>
      </c>
      <c r="M26" s="943">
        <v>1</v>
      </c>
      <c r="N26" s="943">
        <v>1</v>
      </c>
      <c r="O26" s="943">
        <v>1</v>
      </c>
      <c r="P26" s="943">
        <v>1</v>
      </c>
      <c r="Q26" s="943">
        <v>1</v>
      </c>
      <c r="R26" s="944"/>
      <c r="S26" s="943">
        <v>1</v>
      </c>
      <c r="T26" s="943">
        <v>1</v>
      </c>
      <c r="U26" s="943">
        <v>1</v>
      </c>
      <c r="V26" s="943">
        <v>1</v>
      </c>
      <c r="W26" s="943">
        <v>1</v>
      </c>
      <c r="X26" s="943">
        <v>1</v>
      </c>
      <c r="Y26" s="944"/>
      <c r="Z26" s="943">
        <v>1</v>
      </c>
      <c r="AA26" s="943">
        <v>1</v>
      </c>
      <c r="AB26" s="943">
        <v>1</v>
      </c>
      <c r="AC26" s="943">
        <v>1</v>
      </c>
      <c r="AD26" s="943">
        <v>1</v>
      </c>
      <c r="AE26" s="943">
        <v>1</v>
      </c>
      <c r="AF26" s="944"/>
      <c r="AG26" s="943">
        <v>1</v>
      </c>
      <c r="AH26" s="943">
        <v>1</v>
      </c>
      <c r="AI26" s="943">
        <v>1</v>
      </c>
      <c r="AJ26" s="558">
        <f t="shared" si="26"/>
        <v>27</v>
      </c>
      <c r="AK26" s="558">
        <f t="shared" si="27"/>
        <v>0</v>
      </c>
      <c r="AL26" s="558">
        <f t="shared" si="28"/>
        <v>0</v>
      </c>
      <c r="AM26" s="558">
        <f t="shared" si="29"/>
        <v>0</v>
      </c>
      <c r="AN26" s="263"/>
      <c r="AO26" s="263"/>
      <c r="AP26" s="263"/>
      <c r="AQ26" s="263"/>
      <c r="AR26" s="263"/>
      <c r="AS26" s="263"/>
      <c r="AT26" s="709"/>
      <c r="AU26" s="263"/>
      <c r="AV26" s="263"/>
      <c r="AW26" s="263"/>
      <c r="AX26" s="263"/>
      <c r="AY26" s="263"/>
      <c r="AZ26" s="263"/>
      <c r="BA26" s="709"/>
      <c r="BB26" s="263"/>
      <c r="BC26" s="263"/>
      <c r="BD26" s="263"/>
      <c r="BE26" s="263"/>
      <c r="BF26" s="263"/>
      <c r="BG26" s="263"/>
      <c r="BH26" s="709"/>
      <c r="BI26" s="263"/>
      <c r="BJ26" s="263"/>
      <c r="BK26" s="263"/>
      <c r="BL26" s="263"/>
      <c r="BM26" s="263"/>
      <c r="BN26" s="263"/>
      <c r="BO26" s="709"/>
      <c r="BP26" s="263"/>
      <c r="BQ26" s="263"/>
      <c r="BR26" s="263"/>
      <c r="BS26" s="530">
        <f t="shared" si="32"/>
        <v>0</v>
      </c>
      <c r="BT26" s="530">
        <f t="shared" si="33"/>
        <v>0</v>
      </c>
      <c r="BU26" s="530">
        <f t="shared" si="34"/>
        <v>0</v>
      </c>
      <c r="BV26" s="791"/>
      <c r="BW26" s="681">
        <f t="shared" si="35"/>
        <v>0</v>
      </c>
      <c r="BX26" s="798">
        <f>+AJ26*8+BS26+BT26+AK26*8</f>
        <v>216</v>
      </c>
      <c r="BY26" s="801">
        <f t="shared" si="31"/>
        <v>108</v>
      </c>
      <c r="BZ26" s="792"/>
      <c r="CA26" s="792"/>
      <c r="CB26" s="792"/>
    </row>
    <row r="27" spans="1:80" s="801" customFormat="1" ht="20.25" customHeight="1">
      <c r="A27" s="263">
        <f>'BANG LUONG 1'!A27</f>
        <v>22</v>
      </c>
      <c r="B27" s="263" t="str">
        <f>'BANG LUONG 1'!B27</f>
        <v>NV22</v>
      </c>
      <c r="C27" s="263" t="str">
        <f>'BANG LUONG 1'!C27</f>
        <v>Lê Tấn Phát</v>
      </c>
      <c r="D27" s="263" t="str">
        <f>'BANG LUONG 1'!D27</f>
        <v>Lái xe cơ giới</v>
      </c>
      <c r="E27" s="943">
        <v>1</v>
      </c>
      <c r="F27" s="943">
        <v>1</v>
      </c>
      <c r="G27" s="943">
        <v>1</v>
      </c>
      <c r="H27" s="943">
        <v>1</v>
      </c>
      <c r="I27" s="943">
        <v>1</v>
      </c>
      <c r="J27" s="943">
        <v>1</v>
      </c>
      <c r="K27" s="944"/>
      <c r="L27" s="943">
        <v>1</v>
      </c>
      <c r="M27" s="943">
        <v>1</v>
      </c>
      <c r="N27" s="943">
        <v>1</v>
      </c>
      <c r="O27" s="943">
        <v>1</v>
      </c>
      <c r="P27" s="943">
        <v>1</v>
      </c>
      <c r="Q27" s="943">
        <v>1</v>
      </c>
      <c r="R27" s="944"/>
      <c r="S27" s="943">
        <v>1</v>
      </c>
      <c r="T27" s="943">
        <v>1</v>
      </c>
      <c r="U27" s="943">
        <v>1</v>
      </c>
      <c r="V27" s="943">
        <v>1</v>
      </c>
      <c r="W27" s="943">
        <v>1</v>
      </c>
      <c r="X27" s="943">
        <v>1</v>
      </c>
      <c r="Y27" s="944"/>
      <c r="Z27" s="943">
        <v>1</v>
      </c>
      <c r="AA27" s="943">
        <v>1</v>
      </c>
      <c r="AB27" s="943">
        <v>1</v>
      </c>
      <c r="AC27" s="943">
        <v>1</v>
      </c>
      <c r="AD27" s="943">
        <v>1</v>
      </c>
      <c r="AE27" s="943">
        <v>1</v>
      </c>
      <c r="AF27" s="944"/>
      <c r="AG27" s="943">
        <v>1</v>
      </c>
      <c r="AH27" s="943">
        <v>1</v>
      </c>
      <c r="AI27" s="943">
        <v>1</v>
      </c>
      <c r="AJ27" s="558">
        <f t="shared" si="26"/>
        <v>27</v>
      </c>
      <c r="AK27" s="558">
        <f t="shared" si="27"/>
        <v>0</v>
      </c>
      <c r="AL27" s="558">
        <f t="shared" si="28"/>
        <v>0</v>
      </c>
      <c r="AM27" s="558">
        <f t="shared" si="29"/>
        <v>0</v>
      </c>
      <c r="AN27" s="263"/>
      <c r="AO27" s="263"/>
      <c r="AP27" s="263"/>
      <c r="AQ27" s="263"/>
      <c r="AR27" s="263"/>
      <c r="AS27" s="263"/>
      <c r="AT27" s="709"/>
      <c r="AU27" s="263"/>
      <c r="AV27" s="263"/>
      <c r="AW27" s="263"/>
      <c r="AX27" s="263"/>
      <c r="AY27" s="263"/>
      <c r="AZ27" s="263"/>
      <c r="BA27" s="709"/>
      <c r="BB27" s="263"/>
      <c r="BC27" s="263"/>
      <c r="BD27" s="263"/>
      <c r="BE27" s="263"/>
      <c r="BF27" s="263"/>
      <c r="BG27" s="263"/>
      <c r="BH27" s="709"/>
      <c r="BI27" s="263"/>
      <c r="BJ27" s="263"/>
      <c r="BK27" s="263"/>
      <c r="BL27" s="263"/>
      <c r="BM27" s="263"/>
      <c r="BN27" s="263"/>
      <c r="BO27" s="709"/>
      <c r="BP27" s="263"/>
      <c r="BQ27" s="263"/>
      <c r="BR27" s="263"/>
      <c r="BS27" s="530">
        <f t="shared" si="32"/>
        <v>0</v>
      </c>
      <c r="BT27" s="530">
        <f t="shared" si="33"/>
        <v>0</v>
      </c>
      <c r="BU27" s="530">
        <f t="shared" si="34"/>
        <v>0</v>
      </c>
      <c r="BV27" s="791"/>
      <c r="BW27" s="681">
        <f t="shared" si="35"/>
        <v>0</v>
      </c>
      <c r="BX27" s="798">
        <f>+AJ27*8+BS27+BT27+AK27*8</f>
        <v>216</v>
      </c>
      <c r="BY27" s="801">
        <f t="shared" si="31"/>
        <v>108</v>
      </c>
      <c r="BZ27" s="825"/>
    </row>
    <row r="28" spans="1:80" s="799" customFormat="1" ht="21" customHeight="1">
      <c r="A28" s="809">
        <f>'BANG LUONG 1'!A28</f>
        <v>23</v>
      </c>
      <c r="B28" s="809" t="str">
        <f>'BANG LUONG 1'!B28</f>
        <v>NV23</v>
      </c>
      <c r="C28" s="809" t="str">
        <f>'BANG LUONG 1'!C28</f>
        <v>Quách Văn Chánh</v>
      </c>
      <c r="D28" s="263" t="str">
        <f>'BANG LUONG 1'!D28</f>
        <v xml:space="preserve">Công nhân </v>
      </c>
      <c r="E28" s="943">
        <v>1</v>
      </c>
      <c r="F28" s="943">
        <v>1</v>
      </c>
      <c r="G28" s="943">
        <v>1</v>
      </c>
      <c r="H28" s="943">
        <v>1</v>
      </c>
      <c r="I28" s="943">
        <v>1</v>
      </c>
      <c r="J28" s="943">
        <v>1</v>
      </c>
      <c r="K28" s="944"/>
      <c r="L28" s="943">
        <v>1</v>
      </c>
      <c r="M28" s="943">
        <v>1</v>
      </c>
      <c r="N28" s="943">
        <v>1</v>
      </c>
      <c r="O28" s="943">
        <v>1</v>
      </c>
      <c r="P28" s="943">
        <v>1</v>
      </c>
      <c r="Q28" s="943">
        <v>1</v>
      </c>
      <c r="R28" s="944"/>
      <c r="S28" s="943">
        <v>1</v>
      </c>
      <c r="T28" s="943">
        <v>1</v>
      </c>
      <c r="U28" s="943">
        <v>1</v>
      </c>
      <c r="V28" s="943">
        <v>1</v>
      </c>
      <c r="W28" s="943">
        <v>1</v>
      </c>
      <c r="X28" s="943">
        <v>1</v>
      </c>
      <c r="Y28" s="944"/>
      <c r="Z28" s="943">
        <v>1</v>
      </c>
      <c r="AA28" s="943">
        <v>1</v>
      </c>
      <c r="AB28" s="943">
        <v>1</v>
      </c>
      <c r="AC28" s="943">
        <v>1</v>
      </c>
      <c r="AD28" s="943">
        <v>1</v>
      </c>
      <c r="AE28" s="943">
        <v>1</v>
      </c>
      <c r="AF28" s="944"/>
      <c r="AG28" s="943">
        <v>1</v>
      </c>
      <c r="AH28" s="943">
        <v>1</v>
      </c>
      <c r="AI28" s="943">
        <v>1</v>
      </c>
      <c r="AJ28" s="558">
        <f t="shared" si="26"/>
        <v>27</v>
      </c>
      <c r="AK28" s="558">
        <f>SUMIF($E$4:$AI$4,"LT",E28:AI28)</f>
        <v>0</v>
      </c>
      <c r="AL28" s="558">
        <f t="shared" si="28"/>
        <v>0</v>
      </c>
      <c r="AM28" s="558">
        <f t="shared" si="29"/>
        <v>0</v>
      </c>
      <c r="AN28" s="263"/>
      <c r="AO28" s="263"/>
      <c r="AP28" s="263"/>
      <c r="AQ28" s="263"/>
      <c r="AR28" s="263"/>
      <c r="AS28" s="263"/>
      <c r="AT28" s="709"/>
      <c r="AU28" s="263"/>
      <c r="AV28" s="263"/>
      <c r="AW28" s="263"/>
      <c r="AX28" s="263"/>
      <c r="AY28" s="263"/>
      <c r="AZ28" s="263"/>
      <c r="BA28" s="709"/>
      <c r="BB28" s="263"/>
      <c r="BC28" s="263"/>
      <c r="BD28" s="263"/>
      <c r="BE28" s="263"/>
      <c r="BF28" s="263"/>
      <c r="BG28" s="263"/>
      <c r="BH28" s="709"/>
      <c r="BI28" s="263"/>
      <c r="BJ28" s="263"/>
      <c r="BK28" s="263"/>
      <c r="BL28" s="263"/>
      <c r="BM28" s="263"/>
      <c r="BN28" s="263"/>
      <c r="BO28" s="709"/>
      <c r="BP28" s="263"/>
      <c r="BQ28" s="263"/>
      <c r="BR28" s="263"/>
      <c r="BS28" s="530">
        <f t="shared" si="32"/>
        <v>0</v>
      </c>
      <c r="BT28" s="530">
        <f t="shared" si="33"/>
        <v>0</v>
      </c>
      <c r="BU28" s="530">
        <f t="shared" si="34"/>
        <v>0</v>
      </c>
      <c r="BV28" s="791"/>
      <c r="BW28" s="681">
        <f t="shared" si="35"/>
        <v>0</v>
      </c>
      <c r="BX28" s="798">
        <f t="shared" si="30"/>
        <v>216</v>
      </c>
      <c r="BY28" s="801">
        <f t="shared" si="31"/>
        <v>108</v>
      </c>
      <c r="BZ28" s="825"/>
    </row>
    <row r="29" spans="1:80" s="799" customFormat="1" ht="21" customHeight="1">
      <c r="A29" s="263">
        <f>'BANG LUONG 1'!A29</f>
        <v>24</v>
      </c>
      <c r="B29" s="263" t="str">
        <f>'BANG LUONG 1'!B29</f>
        <v>NV24</v>
      </c>
      <c r="C29" s="263" t="str">
        <f>'BANG LUONG 1'!C29</f>
        <v>Trần văn Nguyện</v>
      </c>
      <c r="D29" s="263" t="str">
        <f>'BANG LUONG 1'!D29</f>
        <v>Công nhân  (TX )</v>
      </c>
      <c r="E29" s="943">
        <v>1</v>
      </c>
      <c r="F29" s="943">
        <v>1</v>
      </c>
      <c r="G29" s="943">
        <v>1</v>
      </c>
      <c r="H29" s="943">
        <v>1</v>
      </c>
      <c r="I29" s="943">
        <v>1</v>
      </c>
      <c r="J29" s="943">
        <v>1</v>
      </c>
      <c r="K29" s="944"/>
      <c r="L29" s="943">
        <v>1</v>
      </c>
      <c r="M29" s="943">
        <v>1</v>
      </c>
      <c r="N29" s="943">
        <v>1</v>
      </c>
      <c r="O29" s="943">
        <v>1</v>
      </c>
      <c r="P29" s="943">
        <v>1</v>
      </c>
      <c r="Q29" s="943">
        <v>1</v>
      </c>
      <c r="R29" s="944"/>
      <c r="S29" s="943">
        <v>1</v>
      </c>
      <c r="T29" s="943">
        <v>1</v>
      </c>
      <c r="U29" s="943">
        <v>1</v>
      </c>
      <c r="V29" s="943">
        <v>1</v>
      </c>
      <c r="W29" s="943">
        <v>1</v>
      </c>
      <c r="X29" s="943">
        <v>1</v>
      </c>
      <c r="Y29" s="944"/>
      <c r="Z29" s="943">
        <v>1</v>
      </c>
      <c r="AA29" s="943">
        <v>1</v>
      </c>
      <c r="AB29" s="943">
        <v>1</v>
      </c>
      <c r="AC29" s="943">
        <v>1</v>
      </c>
      <c r="AD29" s="943">
        <v>1</v>
      </c>
      <c r="AE29" s="943">
        <v>1</v>
      </c>
      <c r="AF29" s="944"/>
      <c r="AG29" s="943">
        <v>1</v>
      </c>
      <c r="AH29" s="943">
        <v>1</v>
      </c>
      <c r="AI29" s="943">
        <v>1</v>
      </c>
      <c r="AJ29" s="558">
        <f t="shared" si="26"/>
        <v>27</v>
      </c>
      <c r="AK29" s="558">
        <f t="shared" si="27"/>
        <v>0</v>
      </c>
      <c r="AL29" s="558">
        <f t="shared" si="28"/>
        <v>0</v>
      </c>
      <c r="AM29" s="558">
        <f t="shared" si="29"/>
        <v>0</v>
      </c>
      <c r="AN29" s="263"/>
      <c r="AO29" s="263"/>
      <c r="AP29" s="263"/>
      <c r="AQ29" s="263"/>
      <c r="AR29" s="263"/>
      <c r="AS29" s="263"/>
      <c r="AT29" s="709"/>
      <c r="AU29" s="263"/>
      <c r="AV29" s="263"/>
      <c r="AW29" s="263"/>
      <c r="AX29" s="263"/>
      <c r="AY29" s="263"/>
      <c r="AZ29" s="263"/>
      <c r="BA29" s="709"/>
      <c r="BB29" s="263"/>
      <c r="BC29" s="263"/>
      <c r="BD29" s="263"/>
      <c r="BE29" s="263"/>
      <c r="BF29" s="263"/>
      <c r="BG29" s="263"/>
      <c r="BH29" s="709"/>
      <c r="BI29" s="263"/>
      <c r="BJ29" s="263"/>
      <c r="BK29" s="263"/>
      <c r="BL29" s="263"/>
      <c r="BM29" s="263"/>
      <c r="BN29" s="263"/>
      <c r="BO29" s="709"/>
      <c r="BP29" s="263"/>
      <c r="BQ29" s="263"/>
      <c r="BR29" s="263"/>
      <c r="BS29" s="530">
        <f t="shared" si="32"/>
        <v>0</v>
      </c>
      <c r="BT29" s="530">
        <f t="shared" si="33"/>
        <v>0</v>
      </c>
      <c r="BU29" s="530">
        <f t="shared" si="34"/>
        <v>0</v>
      </c>
      <c r="BV29" s="791"/>
      <c r="BW29" s="681">
        <f t="shared" si="35"/>
        <v>0</v>
      </c>
      <c r="BX29" s="798">
        <f t="shared" si="30"/>
        <v>216</v>
      </c>
      <c r="BY29" s="801">
        <f t="shared" si="31"/>
        <v>108</v>
      </c>
      <c r="BZ29" s="825"/>
    </row>
    <row r="30" spans="1:80" s="799" customFormat="1" ht="21" customHeight="1">
      <c r="A30" s="263">
        <f>'BANG LUONG 1'!A30</f>
        <v>25</v>
      </c>
      <c r="B30" s="263" t="str">
        <f>'BANG LUONG 1'!B30</f>
        <v>NV25</v>
      </c>
      <c r="C30" s="263" t="str">
        <f>'BANG LUONG 1'!C30</f>
        <v>Châu Văn Tâm</v>
      </c>
      <c r="D30" s="263" t="str">
        <f>'BANG LUONG 1'!D30</f>
        <v>Lái xe cơ giới</v>
      </c>
      <c r="E30" s="943">
        <v>1</v>
      </c>
      <c r="F30" s="943">
        <v>1</v>
      </c>
      <c r="G30" s="943">
        <v>1</v>
      </c>
      <c r="H30" s="943">
        <v>1</v>
      </c>
      <c r="I30" s="943">
        <v>1</v>
      </c>
      <c r="J30" s="943">
        <v>1</v>
      </c>
      <c r="K30" s="944"/>
      <c r="L30" s="943">
        <v>1</v>
      </c>
      <c r="M30" s="943">
        <v>1</v>
      </c>
      <c r="N30" s="943">
        <v>1</v>
      </c>
      <c r="O30" s="943">
        <v>1</v>
      </c>
      <c r="P30" s="943">
        <v>1</v>
      </c>
      <c r="Q30" s="943">
        <v>1</v>
      </c>
      <c r="R30" s="944"/>
      <c r="S30" s="943">
        <v>1</v>
      </c>
      <c r="T30" s="943">
        <v>1</v>
      </c>
      <c r="U30" s="943">
        <v>1</v>
      </c>
      <c r="V30" s="943">
        <v>1</v>
      </c>
      <c r="W30" s="943">
        <v>1</v>
      </c>
      <c r="X30" s="943">
        <v>1</v>
      </c>
      <c r="Y30" s="944"/>
      <c r="Z30" s="943">
        <v>1</v>
      </c>
      <c r="AA30" s="943">
        <v>1</v>
      </c>
      <c r="AB30" s="943">
        <v>1</v>
      </c>
      <c r="AC30" s="943">
        <v>1</v>
      </c>
      <c r="AD30" s="943">
        <v>1</v>
      </c>
      <c r="AE30" s="943">
        <v>1</v>
      </c>
      <c r="AF30" s="944"/>
      <c r="AG30" s="943">
        <v>1</v>
      </c>
      <c r="AH30" s="943">
        <v>1</v>
      </c>
      <c r="AI30" s="943">
        <v>1</v>
      </c>
      <c r="AJ30" s="558">
        <f t="shared" si="26"/>
        <v>27</v>
      </c>
      <c r="AK30" s="558">
        <f t="shared" si="27"/>
        <v>0</v>
      </c>
      <c r="AL30" s="558">
        <f t="shared" si="28"/>
        <v>0</v>
      </c>
      <c r="AM30" s="558">
        <f t="shared" si="29"/>
        <v>0</v>
      </c>
      <c r="AN30" s="263"/>
      <c r="AO30" s="263"/>
      <c r="AP30" s="263"/>
      <c r="AQ30" s="263"/>
      <c r="AR30" s="263"/>
      <c r="AS30" s="263"/>
      <c r="AT30" s="709"/>
      <c r="AU30" s="263"/>
      <c r="AV30" s="263"/>
      <c r="AW30" s="263"/>
      <c r="AX30" s="263"/>
      <c r="AY30" s="263"/>
      <c r="AZ30" s="263"/>
      <c r="BA30" s="709"/>
      <c r="BB30" s="263"/>
      <c r="BC30" s="263"/>
      <c r="BD30" s="263"/>
      <c r="BE30" s="263"/>
      <c r="BF30" s="263"/>
      <c r="BG30" s="263"/>
      <c r="BH30" s="709"/>
      <c r="BI30" s="263"/>
      <c r="BJ30" s="263"/>
      <c r="BK30" s="263"/>
      <c r="BL30" s="263"/>
      <c r="BM30" s="263"/>
      <c r="BN30" s="263"/>
      <c r="BO30" s="709"/>
      <c r="BP30" s="263"/>
      <c r="BQ30" s="263"/>
      <c r="BR30" s="263"/>
      <c r="BS30" s="530">
        <f t="shared" si="32"/>
        <v>0</v>
      </c>
      <c r="BT30" s="530">
        <f t="shared" si="33"/>
        <v>0</v>
      </c>
      <c r="BU30" s="530">
        <f t="shared" si="34"/>
        <v>0</v>
      </c>
      <c r="BV30" s="791"/>
      <c r="BW30" s="681">
        <f t="shared" si="35"/>
        <v>0</v>
      </c>
      <c r="BX30" s="798">
        <f t="shared" si="30"/>
        <v>216</v>
      </c>
      <c r="BY30" s="801">
        <f t="shared" si="31"/>
        <v>108</v>
      </c>
      <c r="BZ30" s="915"/>
    </row>
    <row r="31" spans="1:80" s="799" customFormat="1" ht="21" customHeight="1">
      <c r="A31" s="263">
        <f>'BANG LUONG 1'!A31</f>
        <v>26</v>
      </c>
      <c r="B31" s="263" t="str">
        <f>'BANG LUONG 1'!B31</f>
        <v>NV26</v>
      </c>
      <c r="C31" s="263" t="str">
        <f>'BANG LUONG 1'!C31</f>
        <v>Trần Ngọc Sơn</v>
      </c>
      <c r="D31" s="263" t="str">
        <f>'BANG LUONG 1'!D31</f>
        <v>Lái xe cơ giới</v>
      </c>
      <c r="E31" s="943">
        <v>1</v>
      </c>
      <c r="F31" s="943">
        <v>1</v>
      </c>
      <c r="G31" s="943">
        <v>1</v>
      </c>
      <c r="H31" s="943">
        <v>1</v>
      </c>
      <c r="I31" s="943">
        <v>1</v>
      </c>
      <c r="J31" s="943">
        <v>1</v>
      </c>
      <c r="K31" s="944"/>
      <c r="L31" s="943">
        <v>1</v>
      </c>
      <c r="M31" s="943">
        <v>1</v>
      </c>
      <c r="N31" s="943">
        <v>1</v>
      </c>
      <c r="O31" s="943">
        <v>1</v>
      </c>
      <c r="P31" s="943">
        <v>1</v>
      </c>
      <c r="Q31" s="943">
        <v>1</v>
      </c>
      <c r="R31" s="944"/>
      <c r="S31" s="943">
        <v>1</v>
      </c>
      <c r="T31" s="943">
        <v>1</v>
      </c>
      <c r="U31" s="943">
        <v>1</v>
      </c>
      <c r="V31" s="943">
        <v>1</v>
      </c>
      <c r="W31" s="943">
        <v>1</v>
      </c>
      <c r="X31" s="943">
        <v>1</v>
      </c>
      <c r="Y31" s="944"/>
      <c r="Z31" s="943">
        <v>1</v>
      </c>
      <c r="AA31" s="943">
        <v>1</v>
      </c>
      <c r="AB31" s="943">
        <v>1</v>
      </c>
      <c r="AC31" s="943">
        <v>1</v>
      </c>
      <c r="AD31" s="943">
        <v>1</v>
      </c>
      <c r="AE31" s="943">
        <v>1</v>
      </c>
      <c r="AF31" s="944"/>
      <c r="AG31" s="943">
        <v>1</v>
      </c>
      <c r="AH31" s="943">
        <v>1</v>
      </c>
      <c r="AI31" s="943">
        <v>1</v>
      </c>
      <c r="AJ31" s="558">
        <f t="shared" si="26"/>
        <v>27</v>
      </c>
      <c r="AK31" s="558">
        <f t="shared" si="27"/>
        <v>0</v>
      </c>
      <c r="AL31" s="558">
        <f t="shared" si="28"/>
        <v>0</v>
      </c>
      <c r="AM31" s="558">
        <f t="shared" si="29"/>
        <v>0</v>
      </c>
      <c r="AN31" s="263"/>
      <c r="AO31" s="263"/>
      <c r="AP31" s="263"/>
      <c r="AQ31" s="263"/>
      <c r="AR31" s="263"/>
      <c r="AS31" s="263"/>
      <c r="AT31" s="709"/>
      <c r="AU31" s="263"/>
      <c r="AV31" s="263"/>
      <c r="AW31" s="263"/>
      <c r="AX31" s="263"/>
      <c r="AY31" s="263"/>
      <c r="AZ31" s="263"/>
      <c r="BA31" s="709"/>
      <c r="BB31" s="263"/>
      <c r="BC31" s="263"/>
      <c r="BD31" s="263"/>
      <c r="BE31" s="263"/>
      <c r="BF31" s="263"/>
      <c r="BG31" s="263"/>
      <c r="BH31" s="709"/>
      <c r="BI31" s="263"/>
      <c r="BJ31" s="263"/>
      <c r="BK31" s="263"/>
      <c r="BL31" s="263"/>
      <c r="BM31" s="263"/>
      <c r="BN31" s="263"/>
      <c r="BO31" s="709"/>
      <c r="BP31" s="263"/>
      <c r="BQ31" s="263"/>
      <c r="BR31" s="263"/>
      <c r="BS31" s="530">
        <f t="shared" si="32"/>
        <v>0</v>
      </c>
      <c r="BT31" s="530">
        <f t="shared" si="33"/>
        <v>0</v>
      </c>
      <c r="BU31" s="530">
        <f t="shared" si="34"/>
        <v>0</v>
      </c>
      <c r="BV31" s="791"/>
      <c r="BW31" s="681">
        <f t="shared" si="35"/>
        <v>0</v>
      </c>
      <c r="BX31" s="798">
        <f t="shared" si="30"/>
        <v>216</v>
      </c>
      <c r="BY31" s="801">
        <f t="shared" si="31"/>
        <v>108</v>
      </c>
      <c r="BZ31" s="828"/>
      <c r="CA31" s="801"/>
      <c r="CB31" s="801"/>
    </row>
    <row r="32" spans="1:80" s="799" customFormat="1" ht="21" customHeight="1">
      <c r="A32" s="263">
        <f>'BANG LUONG 1'!A32</f>
        <v>27</v>
      </c>
      <c r="B32" s="263" t="str">
        <f>'BANG LUONG 1'!B32</f>
        <v>NV27</v>
      </c>
      <c r="C32" s="263" t="str">
        <f>'BANG LUONG 1'!C32</f>
        <v>Nguyễn Văn Tuấn</v>
      </c>
      <c r="D32" s="263" t="str">
        <f>'BANG LUONG 1'!D32</f>
        <v>Lái xe cơ giới</v>
      </c>
      <c r="E32" s="943">
        <v>1</v>
      </c>
      <c r="F32" s="943">
        <v>1</v>
      </c>
      <c r="G32" s="943">
        <v>1</v>
      </c>
      <c r="H32" s="943">
        <v>1</v>
      </c>
      <c r="I32" s="943">
        <v>1</v>
      </c>
      <c r="J32" s="943">
        <v>1</v>
      </c>
      <c r="K32" s="944"/>
      <c r="L32" s="943">
        <v>1</v>
      </c>
      <c r="M32" s="943">
        <v>1</v>
      </c>
      <c r="N32" s="943">
        <v>1</v>
      </c>
      <c r="O32" s="943">
        <v>1</v>
      </c>
      <c r="P32" s="943">
        <v>1</v>
      </c>
      <c r="Q32" s="943">
        <v>1</v>
      </c>
      <c r="R32" s="944"/>
      <c r="S32" s="943">
        <v>1</v>
      </c>
      <c r="T32" s="943">
        <v>1</v>
      </c>
      <c r="U32" s="943">
        <v>1</v>
      </c>
      <c r="V32" s="943">
        <v>1</v>
      </c>
      <c r="W32" s="943">
        <v>1</v>
      </c>
      <c r="X32" s="943">
        <v>1</v>
      </c>
      <c r="Y32" s="944"/>
      <c r="Z32" s="943">
        <v>1</v>
      </c>
      <c r="AA32" s="943">
        <v>1</v>
      </c>
      <c r="AB32" s="943">
        <v>1</v>
      </c>
      <c r="AC32" s="943">
        <v>1</v>
      </c>
      <c r="AD32" s="943">
        <v>1</v>
      </c>
      <c r="AE32" s="943">
        <v>1</v>
      </c>
      <c r="AF32" s="944"/>
      <c r="AG32" s="943">
        <v>1</v>
      </c>
      <c r="AH32" s="943">
        <v>1</v>
      </c>
      <c r="AI32" s="943">
        <v>1</v>
      </c>
      <c r="AJ32" s="558">
        <f t="shared" si="26"/>
        <v>27</v>
      </c>
      <c r="AK32" s="558">
        <f t="shared" si="27"/>
        <v>0</v>
      </c>
      <c r="AL32" s="558">
        <f t="shared" si="28"/>
        <v>0</v>
      </c>
      <c r="AM32" s="558">
        <f t="shared" si="29"/>
        <v>0</v>
      </c>
      <c r="AN32" s="263"/>
      <c r="AO32" s="263"/>
      <c r="AP32" s="263"/>
      <c r="AQ32" s="263"/>
      <c r="AR32" s="263"/>
      <c r="AS32" s="263"/>
      <c r="AT32" s="709"/>
      <c r="AU32" s="263"/>
      <c r="AV32" s="263"/>
      <c r="AW32" s="263"/>
      <c r="AX32" s="263"/>
      <c r="AY32" s="263"/>
      <c r="AZ32" s="263"/>
      <c r="BA32" s="709"/>
      <c r="BB32" s="263"/>
      <c r="BC32" s="263"/>
      <c r="BD32" s="263"/>
      <c r="BE32" s="263"/>
      <c r="BF32" s="263"/>
      <c r="BG32" s="263"/>
      <c r="BH32" s="709"/>
      <c r="BI32" s="263"/>
      <c r="BJ32" s="263"/>
      <c r="BK32" s="263"/>
      <c r="BL32" s="263"/>
      <c r="BM32" s="263"/>
      <c r="BN32" s="263"/>
      <c r="BO32" s="709"/>
      <c r="BP32" s="263"/>
      <c r="BQ32" s="263"/>
      <c r="BR32" s="263"/>
      <c r="BS32" s="530">
        <f t="shared" si="32"/>
        <v>0</v>
      </c>
      <c r="BT32" s="530">
        <f t="shared" si="33"/>
        <v>0</v>
      </c>
      <c r="BU32" s="530">
        <f t="shared" si="34"/>
        <v>0</v>
      </c>
      <c r="BV32" s="791"/>
      <c r="BW32" s="681">
        <f t="shared" si="35"/>
        <v>0</v>
      </c>
      <c r="BX32" s="798">
        <f t="shared" si="30"/>
        <v>216</v>
      </c>
      <c r="BY32" s="801">
        <f t="shared" si="31"/>
        <v>108</v>
      </c>
    </row>
    <row r="33" spans="1:80" s="799" customFormat="1" ht="21" customHeight="1">
      <c r="A33" s="263">
        <f>'BANG LUONG 1'!A33</f>
        <v>28</v>
      </c>
      <c r="B33" s="263" t="str">
        <f>'BANG LUONG 1'!B33</f>
        <v>NV28</v>
      </c>
      <c r="C33" s="263" t="str">
        <f>'BANG LUONG 1'!C33</f>
        <v>Hà Thanh Truyền</v>
      </c>
      <c r="D33" s="263" t="str">
        <f>'BANG LUONG 1'!D33</f>
        <v>Lái xe cơ giới</v>
      </c>
      <c r="E33" s="943">
        <v>1</v>
      </c>
      <c r="F33" s="943">
        <v>1</v>
      </c>
      <c r="G33" s="943">
        <v>1</v>
      </c>
      <c r="H33" s="943">
        <v>1</v>
      </c>
      <c r="I33" s="943">
        <v>1</v>
      </c>
      <c r="J33" s="943">
        <v>1</v>
      </c>
      <c r="K33" s="944"/>
      <c r="L33" s="943">
        <v>1</v>
      </c>
      <c r="M33" s="943">
        <v>1</v>
      </c>
      <c r="N33" s="943">
        <v>1</v>
      </c>
      <c r="O33" s="943">
        <v>1</v>
      </c>
      <c r="P33" s="943">
        <v>1</v>
      </c>
      <c r="Q33" s="943">
        <v>1</v>
      </c>
      <c r="R33" s="944"/>
      <c r="S33" s="943">
        <v>1</v>
      </c>
      <c r="T33" s="943">
        <v>1</v>
      </c>
      <c r="U33" s="943">
        <v>1</v>
      </c>
      <c r="V33" s="943">
        <v>1</v>
      </c>
      <c r="W33" s="943">
        <v>1</v>
      </c>
      <c r="X33" s="943">
        <v>1</v>
      </c>
      <c r="Y33" s="944"/>
      <c r="Z33" s="943">
        <v>1</v>
      </c>
      <c r="AA33" s="943">
        <v>1</v>
      </c>
      <c r="AB33" s="943">
        <v>1</v>
      </c>
      <c r="AC33" s="943">
        <v>1</v>
      </c>
      <c r="AD33" s="943">
        <v>1</v>
      </c>
      <c r="AE33" s="943">
        <v>1</v>
      </c>
      <c r="AF33" s="944"/>
      <c r="AG33" s="943">
        <v>1</v>
      </c>
      <c r="AH33" s="943">
        <v>1</v>
      </c>
      <c r="AI33" s="943">
        <v>1</v>
      </c>
      <c r="AJ33" s="558">
        <f t="shared" si="26"/>
        <v>27</v>
      </c>
      <c r="AK33" s="558">
        <f t="shared" si="27"/>
        <v>0</v>
      </c>
      <c r="AL33" s="558">
        <f t="shared" si="28"/>
        <v>0</v>
      </c>
      <c r="AM33" s="558">
        <f t="shared" si="29"/>
        <v>0</v>
      </c>
      <c r="AN33" s="263"/>
      <c r="AO33" s="263"/>
      <c r="AP33" s="263"/>
      <c r="AQ33" s="263"/>
      <c r="AR33" s="263"/>
      <c r="AS33" s="263"/>
      <c r="AT33" s="709"/>
      <c r="AU33" s="263"/>
      <c r="AV33" s="263"/>
      <c r="AW33" s="263"/>
      <c r="AX33" s="263"/>
      <c r="AY33" s="263"/>
      <c r="AZ33" s="263"/>
      <c r="BA33" s="709"/>
      <c r="BB33" s="263"/>
      <c r="BC33" s="263"/>
      <c r="BD33" s="263"/>
      <c r="BE33" s="263"/>
      <c r="BF33" s="263"/>
      <c r="BG33" s="263"/>
      <c r="BH33" s="709"/>
      <c r="BI33" s="263"/>
      <c r="BJ33" s="263"/>
      <c r="BK33" s="263"/>
      <c r="BL33" s="263"/>
      <c r="BM33" s="263"/>
      <c r="BN33" s="263"/>
      <c r="BO33" s="709"/>
      <c r="BP33" s="263"/>
      <c r="BQ33" s="263"/>
      <c r="BR33" s="263"/>
      <c r="BS33" s="530">
        <f t="shared" si="32"/>
        <v>0</v>
      </c>
      <c r="BT33" s="530">
        <f t="shared" si="33"/>
        <v>0</v>
      </c>
      <c r="BU33" s="530">
        <f t="shared" si="34"/>
        <v>0</v>
      </c>
      <c r="BV33" s="791"/>
      <c r="BW33" s="681">
        <f t="shared" si="35"/>
        <v>0</v>
      </c>
      <c r="BX33" s="798">
        <f t="shared" si="30"/>
        <v>216</v>
      </c>
      <c r="BY33" s="801">
        <f t="shared" si="31"/>
        <v>108</v>
      </c>
      <c r="BZ33" s="915"/>
    </row>
    <row r="34" spans="1:80" s="799" customFormat="1" ht="21" customHeight="1">
      <c r="A34" s="263">
        <f>'BANG LUONG 1'!A34</f>
        <v>30</v>
      </c>
      <c r="B34" s="263" t="str">
        <f>'BANG LUONG 1'!B34</f>
        <v>NV30</v>
      </c>
      <c r="C34" s="263" t="str">
        <f>'BANG LUONG 1'!C34</f>
        <v>Lê Minh Trọng</v>
      </c>
      <c r="D34" s="263" t="str">
        <f>'BANG LUONG 1'!D34</f>
        <v>Lái xe cơ giới</v>
      </c>
      <c r="E34" s="943">
        <v>1</v>
      </c>
      <c r="F34" s="943">
        <v>1</v>
      </c>
      <c r="G34" s="943">
        <v>1</v>
      </c>
      <c r="H34" s="943">
        <v>1</v>
      </c>
      <c r="I34" s="943">
        <v>1</v>
      </c>
      <c r="J34" s="943">
        <v>1</v>
      </c>
      <c r="K34" s="944"/>
      <c r="L34" s="943">
        <v>1</v>
      </c>
      <c r="M34" s="943">
        <v>1</v>
      </c>
      <c r="N34" s="943">
        <v>1</v>
      </c>
      <c r="O34" s="943">
        <v>1</v>
      </c>
      <c r="P34" s="943">
        <v>1</v>
      </c>
      <c r="Q34" s="943">
        <v>1</v>
      </c>
      <c r="R34" s="944"/>
      <c r="S34" s="943">
        <v>1</v>
      </c>
      <c r="T34" s="943">
        <v>1</v>
      </c>
      <c r="U34" s="943">
        <v>1</v>
      </c>
      <c r="V34" s="943">
        <v>1</v>
      </c>
      <c r="W34" s="943">
        <v>1</v>
      </c>
      <c r="X34" s="943">
        <v>1</v>
      </c>
      <c r="Y34" s="944"/>
      <c r="Z34" s="943">
        <v>1</v>
      </c>
      <c r="AA34" s="943">
        <v>1</v>
      </c>
      <c r="AB34" s="943">
        <v>1</v>
      </c>
      <c r="AC34" s="943">
        <v>1</v>
      </c>
      <c r="AD34" s="943">
        <v>1</v>
      </c>
      <c r="AE34" s="943">
        <v>1</v>
      </c>
      <c r="AF34" s="944"/>
      <c r="AG34" s="943">
        <v>1</v>
      </c>
      <c r="AH34" s="943">
        <v>1</v>
      </c>
      <c r="AI34" s="943">
        <v>1</v>
      </c>
      <c r="AJ34" s="558">
        <f t="shared" si="26"/>
        <v>27</v>
      </c>
      <c r="AK34" s="558">
        <f t="shared" si="27"/>
        <v>0</v>
      </c>
      <c r="AL34" s="558">
        <f t="shared" si="28"/>
        <v>0</v>
      </c>
      <c r="AM34" s="558">
        <f t="shared" si="29"/>
        <v>0</v>
      </c>
      <c r="AN34" s="263"/>
      <c r="AO34" s="263"/>
      <c r="AP34" s="263"/>
      <c r="AQ34" s="263"/>
      <c r="AR34" s="263"/>
      <c r="AS34" s="263"/>
      <c r="AT34" s="709"/>
      <c r="AU34" s="263"/>
      <c r="AV34" s="263"/>
      <c r="AW34" s="263"/>
      <c r="AX34" s="263"/>
      <c r="AY34" s="263"/>
      <c r="AZ34" s="263"/>
      <c r="BA34" s="709"/>
      <c r="BB34" s="263"/>
      <c r="BC34" s="263"/>
      <c r="BD34" s="263"/>
      <c r="BE34" s="263"/>
      <c r="BF34" s="263"/>
      <c r="BG34" s="263"/>
      <c r="BH34" s="709"/>
      <c r="BI34" s="263"/>
      <c r="BJ34" s="263"/>
      <c r="BK34" s="263"/>
      <c r="BL34" s="263"/>
      <c r="BM34" s="263"/>
      <c r="BN34" s="263"/>
      <c r="BO34" s="709"/>
      <c r="BP34" s="263"/>
      <c r="BQ34" s="263"/>
      <c r="BR34" s="263"/>
      <c r="BS34" s="530">
        <f t="shared" si="32"/>
        <v>0</v>
      </c>
      <c r="BT34" s="530">
        <f t="shared" si="33"/>
        <v>0</v>
      </c>
      <c r="BU34" s="530">
        <f t="shared" si="34"/>
        <v>0</v>
      </c>
      <c r="BV34" s="791"/>
      <c r="BW34" s="681">
        <f t="shared" si="35"/>
        <v>0</v>
      </c>
      <c r="BX34" s="798">
        <f t="shared" si="30"/>
        <v>216</v>
      </c>
      <c r="BY34" s="801">
        <f t="shared" si="31"/>
        <v>108</v>
      </c>
      <c r="BZ34" s="828"/>
      <c r="CA34" s="826"/>
      <c r="CB34" s="801"/>
    </row>
    <row r="35" spans="1:80" s="799" customFormat="1" ht="21" customHeight="1">
      <c r="A35" s="263">
        <f>'BANG LUONG 1'!A35</f>
        <v>31</v>
      </c>
      <c r="B35" s="263" t="str">
        <f>'BANG LUONG 1'!B35</f>
        <v>NV31</v>
      </c>
      <c r="C35" s="263" t="str">
        <f>'BANG LUONG 1'!C35</f>
        <v>Nguyễn Văn Lâm</v>
      </c>
      <c r="D35" s="263" t="str">
        <f>'BANG LUONG 1'!D35</f>
        <v>Lái xe cơ giới</v>
      </c>
      <c r="E35" s="943">
        <v>1</v>
      </c>
      <c r="F35" s="943">
        <v>1</v>
      </c>
      <c r="G35" s="943">
        <v>1</v>
      </c>
      <c r="H35" s="943">
        <v>1</v>
      </c>
      <c r="I35" s="943">
        <v>1</v>
      </c>
      <c r="J35" s="943">
        <v>1</v>
      </c>
      <c r="K35" s="944"/>
      <c r="L35" s="943">
        <v>1</v>
      </c>
      <c r="M35" s="943">
        <v>1</v>
      </c>
      <c r="N35" s="943">
        <v>1</v>
      </c>
      <c r="O35" s="943">
        <v>1</v>
      </c>
      <c r="P35" s="943">
        <v>1</v>
      </c>
      <c r="Q35" s="943">
        <v>1</v>
      </c>
      <c r="R35" s="944"/>
      <c r="S35" s="943">
        <v>1</v>
      </c>
      <c r="T35" s="943">
        <v>1</v>
      </c>
      <c r="U35" s="943">
        <v>1</v>
      </c>
      <c r="V35" s="943">
        <v>1</v>
      </c>
      <c r="W35" s="943">
        <v>1</v>
      </c>
      <c r="X35" s="943">
        <v>1</v>
      </c>
      <c r="Y35" s="944"/>
      <c r="Z35" s="943">
        <v>1</v>
      </c>
      <c r="AA35" s="943">
        <v>1</v>
      </c>
      <c r="AB35" s="943">
        <v>1</v>
      </c>
      <c r="AC35" s="943">
        <v>1</v>
      </c>
      <c r="AD35" s="943">
        <v>1</v>
      </c>
      <c r="AE35" s="943">
        <v>1</v>
      </c>
      <c r="AF35" s="944"/>
      <c r="AG35" s="943">
        <v>1</v>
      </c>
      <c r="AH35" s="943">
        <v>1</v>
      </c>
      <c r="AI35" s="943">
        <v>1</v>
      </c>
      <c r="AJ35" s="558">
        <f t="shared" si="26"/>
        <v>27</v>
      </c>
      <c r="AK35" s="558">
        <f t="shared" si="27"/>
        <v>0</v>
      </c>
      <c r="AL35" s="558">
        <f t="shared" si="28"/>
        <v>0</v>
      </c>
      <c r="AM35" s="558">
        <f t="shared" si="29"/>
        <v>0</v>
      </c>
      <c r="AN35" s="263"/>
      <c r="AO35" s="263"/>
      <c r="AP35" s="263"/>
      <c r="AQ35" s="263"/>
      <c r="AR35" s="263"/>
      <c r="AS35" s="263"/>
      <c r="AT35" s="709"/>
      <c r="AU35" s="263"/>
      <c r="AV35" s="263"/>
      <c r="AW35" s="263"/>
      <c r="AX35" s="263"/>
      <c r="AY35" s="263"/>
      <c r="AZ35" s="263"/>
      <c r="BA35" s="709"/>
      <c r="BB35" s="263"/>
      <c r="BC35" s="263"/>
      <c r="BD35" s="263"/>
      <c r="BE35" s="263"/>
      <c r="BF35" s="263"/>
      <c r="BG35" s="263"/>
      <c r="BH35" s="709"/>
      <c r="BI35" s="263"/>
      <c r="BJ35" s="263"/>
      <c r="BK35" s="263"/>
      <c r="BL35" s="263"/>
      <c r="BM35" s="263"/>
      <c r="BN35" s="263"/>
      <c r="BO35" s="709"/>
      <c r="BP35" s="263"/>
      <c r="BQ35" s="263"/>
      <c r="BR35" s="263"/>
      <c r="BS35" s="530">
        <f t="shared" si="32"/>
        <v>0</v>
      </c>
      <c r="BT35" s="530">
        <f t="shared" si="33"/>
        <v>0</v>
      </c>
      <c r="BU35" s="530">
        <f t="shared" si="34"/>
        <v>0</v>
      </c>
      <c r="BV35" s="791"/>
      <c r="BW35" s="681">
        <f t="shared" si="35"/>
        <v>0</v>
      </c>
      <c r="BX35" s="798">
        <f t="shared" si="30"/>
        <v>216</v>
      </c>
      <c r="BY35" s="801">
        <f t="shared" si="31"/>
        <v>108</v>
      </c>
      <c r="BZ35" s="915"/>
    </row>
    <row r="36" spans="1:80" s="799" customFormat="1" ht="21" customHeight="1">
      <c r="A36" s="809">
        <f>'BANG LUONG 1'!A36</f>
        <v>32</v>
      </c>
      <c r="B36" s="809" t="str">
        <f>'BANG LUONG 1'!B36</f>
        <v>NV32</v>
      </c>
      <c r="C36" s="809" t="str">
        <f>'BANG LUONG 1'!C36</f>
        <v>Lương Minh Tâm</v>
      </c>
      <c r="D36" s="263" t="str">
        <f>'BANG LUONG 1'!D36</f>
        <v>Vận hành xe xúc BH</v>
      </c>
      <c r="E36" s="943">
        <v>1</v>
      </c>
      <c r="F36" s="943">
        <v>1</v>
      </c>
      <c r="G36" s="943">
        <v>1</v>
      </c>
      <c r="H36" s="943">
        <v>1</v>
      </c>
      <c r="I36" s="943">
        <v>1</v>
      </c>
      <c r="J36" s="943">
        <v>1</v>
      </c>
      <c r="K36" s="944"/>
      <c r="L36" s="943">
        <v>1</v>
      </c>
      <c r="M36" s="943">
        <v>1</v>
      </c>
      <c r="N36" s="943">
        <v>1</v>
      </c>
      <c r="O36" s="943">
        <v>1</v>
      </c>
      <c r="P36" s="943">
        <v>1</v>
      </c>
      <c r="Q36" s="943">
        <v>1</v>
      </c>
      <c r="R36" s="944"/>
      <c r="S36" s="943">
        <v>1</v>
      </c>
      <c r="T36" s="943">
        <v>1</v>
      </c>
      <c r="U36" s="943">
        <v>1</v>
      </c>
      <c r="V36" s="943">
        <v>1</v>
      </c>
      <c r="W36" s="943">
        <v>1</v>
      </c>
      <c r="X36" s="943">
        <v>1</v>
      </c>
      <c r="Y36" s="944"/>
      <c r="Z36" s="943">
        <v>1</v>
      </c>
      <c r="AA36" s="943">
        <v>1</v>
      </c>
      <c r="AB36" s="943">
        <v>1</v>
      </c>
      <c r="AC36" s="943">
        <v>1</v>
      </c>
      <c r="AD36" s="943">
        <v>1</v>
      </c>
      <c r="AE36" s="943">
        <v>1</v>
      </c>
      <c r="AF36" s="944"/>
      <c r="AG36" s="943">
        <v>1</v>
      </c>
      <c r="AH36" s="943">
        <v>1</v>
      </c>
      <c r="AI36" s="943">
        <v>1</v>
      </c>
      <c r="AJ36" s="558">
        <f>SUM(E36:AI36)-AK36</f>
        <v>27</v>
      </c>
      <c r="AK36" s="558">
        <f>SUMIF($E$4:$AI$4,"LT",E36:AI36)</f>
        <v>0</v>
      </c>
      <c r="AL36" s="558">
        <f>COUNTIF(E36:AI36,"P")</f>
        <v>0</v>
      </c>
      <c r="AM36" s="558">
        <f>COUNTIF(E36:AI36,"LT")</f>
        <v>0</v>
      </c>
      <c r="AN36" s="263"/>
      <c r="AO36" s="263"/>
      <c r="AP36" s="263"/>
      <c r="AQ36" s="263"/>
      <c r="AR36" s="263"/>
      <c r="AS36" s="263"/>
      <c r="AT36" s="709"/>
      <c r="AU36" s="263"/>
      <c r="AV36" s="263"/>
      <c r="AW36" s="263"/>
      <c r="AX36" s="263"/>
      <c r="AY36" s="263"/>
      <c r="AZ36" s="263"/>
      <c r="BA36" s="709"/>
      <c r="BB36" s="263"/>
      <c r="BC36" s="263"/>
      <c r="BD36" s="263"/>
      <c r="BE36" s="263"/>
      <c r="BF36" s="263"/>
      <c r="BG36" s="263"/>
      <c r="BH36" s="709"/>
      <c r="BI36" s="263"/>
      <c r="BJ36" s="263"/>
      <c r="BK36" s="263"/>
      <c r="BL36" s="263"/>
      <c r="BM36" s="263"/>
      <c r="BN36" s="263"/>
      <c r="BO36" s="709"/>
      <c r="BP36" s="263"/>
      <c r="BQ36" s="263"/>
      <c r="BR36" s="263"/>
      <c r="BS36" s="530">
        <f t="shared" si="32"/>
        <v>0</v>
      </c>
      <c r="BT36" s="530">
        <f t="shared" si="33"/>
        <v>0</v>
      </c>
      <c r="BU36" s="530">
        <f t="shared" si="34"/>
        <v>0</v>
      </c>
      <c r="BV36" s="791"/>
      <c r="BW36" s="681">
        <f t="shared" si="35"/>
        <v>0</v>
      </c>
      <c r="BX36" s="798">
        <f t="shared" si="30"/>
        <v>216</v>
      </c>
      <c r="BY36" s="801">
        <f t="shared" si="31"/>
        <v>108</v>
      </c>
      <c r="BZ36" s="915"/>
    </row>
    <row r="37" spans="1:80" s="799" customFormat="1" ht="21" customHeight="1">
      <c r="A37" s="810">
        <f>'BANG LUONG 1'!A37</f>
        <v>33</v>
      </c>
      <c r="B37" s="810" t="str">
        <f>'BANG LUONG 1'!B37</f>
        <v>NV33</v>
      </c>
      <c r="C37" s="810" t="str">
        <f>'BANG LUONG 1'!C37</f>
        <v>Nguyễn Thành Tài</v>
      </c>
      <c r="D37" s="263" t="str">
        <f>'BANG LUONG 1'!D37</f>
        <v>Lái xe nâng</v>
      </c>
      <c r="E37" s="943">
        <v>1</v>
      </c>
      <c r="F37" s="943">
        <v>1</v>
      </c>
      <c r="G37" s="943">
        <v>1</v>
      </c>
      <c r="H37" s="943">
        <v>1</v>
      </c>
      <c r="I37" s="943">
        <v>1</v>
      </c>
      <c r="J37" s="943">
        <v>1</v>
      </c>
      <c r="K37" s="944"/>
      <c r="L37" s="943">
        <v>1</v>
      </c>
      <c r="M37" s="943">
        <v>1</v>
      </c>
      <c r="N37" s="943">
        <v>1</v>
      </c>
      <c r="O37" s="943">
        <v>1</v>
      </c>
      <c r="P37" s="943">
        <v>1</v>
      </c>
      <c r="Q37" s="943">
        <v>1</v>
      </c>
      <c r="R37" s="944"/>
      <c r="S37" s="943">
        <v>1</v>
      </c>
      <c r="T37" s="943">
        <v>1</v>
      </c>
      <c r="U37" s="943">
        <v>1</v>
      </c>
      <c r="V37" s="943">
        <v>1</v>
      </c>
      <c r="W37" s="943">
        <v>1</v>
      </c>
      <c r="X37" s="943">
        <v>1</v>
      </c>
      <c r="Y37" s="944"/>
      <c r="Z37" s="943">
        <v>1</v>
      </c>
      <c r="AA37" s="943">
        <v>1</v>
      </c>
      <c r="AB37" s="943">
        <v>1</v>
      </c>
      <c r="AC37" s="943">
        <v>1</v>
      </c>
      <c r="AD37" s="943">
        <v>1</v>
      </c>
      <c r="AE37" s="943">
        <v>1</v>
      </c>
      <c r="AF37" s="944"/>
      <c r="AG37" s="943">
        <v>1</v>
      </c>
      <c r="AH37" s="943">
        <v>1</v>
      </c>
      <c r="AI37" s="943">
        <v>1</v>
      </c>
      <c r="AJ37" s="558">
        <f>SUM(E37:AI37)-AK37</f>
        <v>27</v>
      </c>
      <c r="AK37" s="558">
        <f>SUMIF($E$4:$AI$4,"LT",E37:AI37)</f>
        <v>0</v>
      </c>
      <c r="AL37" s="558">
        <f>COUNTIF(E37:AI37,"P")</f>
        <v>0</v>
      </c>
      <c r="AM37" s="558">
        <f>COUNTIF(E37:AI37,"LT")</f>
        <v>0</v>
      </c>
      <c r="AN37" s="263"/>
      <c r="AO37" s="263"/>
      <c r="AP37" s="263"/>
      <c r="AQ37" s="263"/>
      <c r="AR37" s="263"/>
      <c r="AS37" s="263"/>
      <c r="AT37" s="709"/>
      <c r="AU37" s="263"/>
      <c r="AV37" s="263"/>
      <c r="AW37" s="263"/>
      <c r="AX37" s="263"/>
      <c r="AY37" s="263"/>
      <c r="AZ37" s="263"/>
      <c r="BA37" s="709"/>
      <c r="BB37" s="263"/>
      <c r="BC37" s="263"/>
      <c r="BD37" s="263"/>
      <c r="BE37" s="263"/>
      <c r="BF37" s="263"/>
      <c r="BG37" s="263"/>
      <c r="BH37" s="709"/>
      <c r="BI37" s="263"/>
      <c r="BJ37" s="263"/>
      <c r="BK37" s="263"/>
      <c r="BL37" s="263"/>
      <c r="BM37" s="263"/>
      <c r="BN37" s="263"/>
      <c r="BO37" s="709"/>
      <c r="BP37" s="263"/>
      <c r="BQ37" s="263"/>
      <c r="BR37" s="263"/>
      <c r="BS37" s="530">
        <f t="shared" si="32"/>
        <v>0</v>
      </c>
      <c r="BT37" s="530">
        <f t="shared" si="33"/>
        <v>0</v>
      </c>
      <c r="BU37" s="530">
        <f t="shared" si="34"/>
        <v>0</v>
      </c>
      <c r="BV37" s="791"/>
      <c r="BW37" s="681">
        <f t="shared" si="35"/>
        <v>0</v>
      </c>
      <c r="BX37" s="798">
        <f t="shared" si="30"/>
        <v>216</v>
      </c>
      <c r="BY37" s="801">
        <f t="shared" si="31"/>
        <v>108</v>
      </c>
    </row>
    <row r="38" spans="1:80" s="711" customFormat="1" ht="19.5" customHeight="1">
      <c r="A38" s="709"/>
      <c r="B38" s="714"/>
      <c r="C38" s="716" t="s">
        <v>738</v>
      </c>
      <c r="D38" s="714"/>
      <c r="E38" s="714"/>
      <c r="F38" s="714"/>
      <c r="G38" s="714"/>
      <c r="H38" s="714"/>
      <c r="I38" s="714"/>
      <c r="J38" s="714"/>
      <c r="K38" s="714"/>
      <c r="L38" s="714"/>
      <c r="M38" s="714"/>
      <c r="N38" s="714"/>
      <c r="O38" s="714"/>
      <c r="P38" s="714"/>
      <c r="Q38" s="714"/>
      <c r="R38" s="714"/>
      <c r="S38" s="714"/>
      <c r="T38" s="714"/>
      <c r="U38" s="714"/>
      <c r="V38" s="714"/>
      <c r="W38" s="714"/>
      <c r="X38" s="714"/>
      <c r="Y38" s="714"/>
      <c r="Z38" s="714"/>
      <c r="AA38" s="714"/>
      <c r="AB38" s="714"/>
      <c r="AC38" s="714"/>
      <c r="AD38" s="714"/>
      <c r="AE38" s="714"/>
      <c r="AF38" s="714"/>
      <c r="AG38" s="714"/>
      <c r="AH38" s="714"/>
      <c r="AI38" s="714"/>
      <c r="AJ38" s="714"/>
      <c r="AK38" s="714"/>
      <c r="AL38" s="714"/>
      <c r="AM38" s="714"/>
      <c r="AN38" s="942"/>
      <c r="AO38" s="942"/>
      <c r="AP38" s="942"/>
      <c r="AQ38" s="942"/>
      <c r="AR38" s="942"/>
      <c r="AS38" s="942"/>
      <c r="AT38" s="709"/>
      <c r="AU38" s="942"/>
      <c r="AV38" s="942"/>
      <c r="AW38" s="942"/>
      <c r="AX38" s="942"/>
      <c r="AY38" s="942"/>
      <c r="AZ38" s="942"/>
      <c r="BA38" s="709"/>
      <c r="BB38" s="942"/>
      <c r="BC38" s="942"/>
      <c r="BD38" s="942"/>
      <c r="BE38" s="942"/>
      <c r="BF38" s="942"/>
      <c r="BG38" s="942"/>
      <c r="BH38" s="709"/>
      <c r="BI38" s="942"/>
      <c r="BJ38" s="942"/>
      <c r="BK38" s="942"/>
      <c r="BL38" s="942"/>
      <c r="BM38" s="942"/>
      <c r="BN38" s="942"/>
      <c r="BO38" s="709"/>
      <c r="BP38" s="942"/>
      <c r="BQ38" s="942"/>
      <c r="BR38" s="942"/>
      <c r="BS38" s="714"/>
      <c r="BT38" s="714"/>
      <c r="BU38" s="714"/>
      <c r="BV38" s="714"/>
      <c r="BW38" s="714"/>
      <c r="BX38" s="798">
        <f t="shared" si="30"/>
        <v>0</v>
      </c>
      <c r="BY38" s="801">
        <f t="shared" si="31"/>
        <v>0</v>
      </c>
    </row>
    <row r="39" spans="1:80" ht="21" customHeight="1">
      <c r="A39" s="680">
        <f>'BANG LUONG 1'!A39</f>
        <v>34</v>
      </c>
      <c r="B39" s="263" t="str">
        <f>'BANG LUONG 1'!B39</f>
        <v>NV34</v>
      </c>
      <c r="C39" s="263" t="s">
        <v>776</v>
      </c>
      <c r="D39" s="263" t="s">
        <v>777</v>
      </c>
      <c r="E39" s="943">
        <v>1</v>
      </c>
      <c r="F39" s="943">
        <v>1</v>
      </c>
      <c r="G39" s="943">
        <v>1</v>
      </c>
      <c r="H39" s="943">
        <v>1</v>
      </c>
      <c r="I39" s="943">
        <v>1</v>
      </c>
      <c r="J39" s="943">
        <v>1</v>
      </c>
      <c r="K39" s="944"/>
      <c r="L39" s="943">
        <v>1</v>
      </c>
      <c r="M39" s="943">
        <v>1</v>
      </c>
      <c r="N39" s="943">
        <v>1</v>
      </c>
      <c r="O39" s="943">
        <v>1</v>
      </c>
      <c r="P39" s="943">
        <v>1</v>
      </c>
      <c r="Q39" s="943">
        <v>1</v>
      </c>
      <c r="R39" s="944"/>
      <c r="S39" s="943">
        <v>1</v>
      </c>
      <c r="T39" s="943">
        <v>1</v>
      </c>
      <c r="U39" s="943">
        <v>1</v>
      </c>
      <c r="V39" s="943">
        <v>1</v>
      </c>
      <c r="W39" s="943">
        <v>1</v>
      </c>
      <c r="X39" s="943">
        <v>1</v>
      </c>
      <c r="Y39" s="944"/>
      <c r="Z39" s="943">
        <v>1</v>
      </c>
      <c r="AA39" s="943">
        <v>1</v>
      </c>
      <c r="AB39" s="943">
        <v>1</v>
      </c>
      <c r="AC39" s="943">
        <v>1</v>
      </c>
      <c r="AD39" s="943">
        <v>1</v>
      </c>
      <c r="AE39" s="943">
        <v>1</v>
      </c>
      <c r="AF39" s="944"/>
      <c r="AG39" s="943">
        <v>1</v>
      </c>
      <c r="AH39" s="943">
        <v>1</v>
      </c>
      <c r="AI39" s="943">
        <v>1</v>
      </c>
      <c r="AJ39" s="558">
        <f>SUM(E39:AI39)-AK39</f>
        <v>27</v>
      </c>
      <c r="AK39" s="558">
        <f>SUMIF($E$4:$AI$4,"LT",E39:AI39)</f>
        <v>0</v>
      </c>
      <c r="AL39" s="558">
        <f>COUNTIF(E39:AI39,"P")+0.5</f>
        <v>0.5</v>
      </c>
      <c r="AM39" s="558">
        <f>COUNTIF(E39:AI39,"LT")</f>
        <v>0</v>
      </c>
      <c r="AN39" s="263"/>
      <c r="AO39" s="263"/>
      <c r="AP39" s="263"/>
      <c r="AQ39" s="263"/>
      <c r="AR39" s="263"/>
      <c r="AS39" s="263"/>
      <c r="AT39" s="709"/>
      <c r="AU39" s="263"/>
      <c r="AV39" s="263"/>
      <c r="AW39" s="263"/>
      <c r="AX39" s="263"/>
      <c r="AY39" s="263"/>
      <c r="AZ39" s="263"/>
      <c r="BA39" s="709"/>
      <c r="BB39" s="263"/>
      <c r="BC39" s="263"/>
      <c r="BD39" s="263"/>
      <c r="BE39" s="263"/>
      <c r="BF39" s="263"/>
      <c r="BG39" s="263"/>
      <c r="BH39" s="709"/>
      <c r="BI39" s="263"/>
      <c r="BJ39" s="263"/>
      <c r="BK39" s="263"/>
      <c r="BL39" s="263"/>
      <c r="BM39" s="263"/>
      <c r="BN39" s="263"/>
      <c r="BO39" s="709"/>
      <c r="BP39" s="263"/>
      <c r="BQ39" s="263"/>
      <c r="BR39" s="263"/>
      <c r="BS39" s="530">
        <f>SUM(AN39:BR39)-BT39</f>
        <v>0</v>
      </c>
      <c r="BT39" s="530">
        <f>SUMIF($AN$4:$BR$4,"CN",AN39:BR39)</f>
        <v>0</v>
      </c>
      <c r="BU39" s="530"/>
      <c r="BV39" s="681"/>
      <c r="BW39" s="681">
        <f>COUNTIFS(AN39:BR39,"&gt;="&amp;$BW$3,$AN$4:$BR$4,"&lt;&gt;CN")</f>
        <v>0</v>
      </c>
      <c r="BX39" s="798">
        <f t="shared" si="30"/>
        <v>216</v>
      </c>
      <c r="BY39" s="801">
        <f t="shared" si="31"/>
        <v>108</v>
      </c>
      <c r="BZ39" s="639"/>
      <c r="CA39" s="639"/>
    </row>
    <row r="40" spans="1:80" s="531" customFormat="1" ht="21" customHeight="1">
      <c r="A40" s="680">
        <f>'BANG LUONG 1'!A40</f>
        <v>35</v>
      </c>
      <c r="B40" s="263" t="str">
        <f>'BANG LUONG 1'!B40</f>
        <v>NV35</v>
      </c>
      <c r="C40" s="263" t="str">
        <f>'BANG LUONG 1'!C40</f>
        <v>Nguyễn Văn Phụng</v>
      </c>
      <c r="D40" s="263" t="str">
        <f>'BANG LUONG 1'!D40</f>
        <v xml:space="preserve">Công nhân </v>
      </c>
      <c r="E40" s="943">
        <v>1</v>
      </c>
      <c r="F40" s="943">
        <v>1</v>
      </c>
      <c r="G40" s="943">
        <v>1</v>
      </c>
      <c r="H40" s="943">
        <v>1</v>
      </c>
      <c r="I40" s="943">
        <v>1</v>
      </c>
      <c r="J40" s="943">
        <v>1</v>
      </c>
      <c r="K40" s="944"/>
      <c r="L40" s="943">
        <v>1</v>
      </c>
      <c r="M40" s="943">
        <v>1</v>
      </c>
      <c r="N40" s="943">
        <v>1</v>
      </c>
      <c r="O40" s="943">
        <v>1</v>
      </c>
      <c r="P40" s="943">
        <v>1</v>
      </c>
      <c r="Q40" s="943">
        <v>1</v>
      </c>
      <c r="R40" s="944"/>
      <c r="S40" s="943">
        <v>1</v>
      </c>
      <c r="T40" s="943">
        <v>1</v>
      </c>
      <c r="U40" s="943">
        <v>1</v>
      </c>
      <c r="V40" s="943">
        <v>1</v>
      </c>
      <c r="W40" s="943">
        <v>1</v>
      </c>
      <c r="X40" s="943">
        <v>1</v>
      </c>
      <c r="Y40" s="944"/>
      <c r="Z40" s="943">
        <v>1</v>
      </c>
      <c r="AA40" s="943">
        <v>1</v>
      </c>
      <c r="AB40" s="943">
        <v>1</v>
      </c>
      <c r="AC40" s="943">
        <v>1</v>
      </c>
      <c r="AD40" s="943">
        <v>1</v>
      </c>
      <c r="AE40" s="943">
        <v>1</v>
      </c>
      <c r="AF40" s="944"/>
      <c r="AG40" s="943">
        <v>1</v>
      </c>
      <c r="AH40" s="943">
        <v>1</v>
      </c>
      <c r="AI40" s="943">
        <v>1</v>
      </c>
      <c r="AJ40" s="558">
        <f>SUM(E40:AI40)-AK40</f>
        <v>27</v>
      </c>
      <c r="AK40" s="558">
        <f>SUMIF($E$4:$AI$4,"LT",E40:AI40)</f>
        <v>0</v>
      </c>
      <c r="AL40" s="558">
        <f>COUNTIF(E40:AI40,"P")+0.5</f>
        <v>0.5</v>
      </c>
      <c r="AM40" s="558">
        <f>COUNTIF(E40:AI40,"LT")</f>
        <v>0</v>
      </c>
      <c r="AN40" s="263"/>
      <c r="AO40" s="263"/>
      <c r="AP40" s="263"/>
      <c r="AQ40" s="263"/>
      <c r="AR40" s="263"/>
      <c r="AS40" s="263"/>
      <c r="AT40" s="709"/>
      <c r="AU40" s="263"/>
      <c r="AV40" s="263"/>
      <c r="AW40" s="263"/>
      <c r="AX40" s="263"/>
      <c r="AY40" s="263"/>
      <c r="AZ40" s="263"/>
      <c r="BA40" s="709"/>
      <c r="BB40" s="263"/>
      <c r="BC40" s="263"/>
      <c r="BD40" s="263"/>
      <c r="BE40" s="263"/>
      <c r="BF40" s="263"/>
      <c r="BG40" s="263"/>
      <c r="BH40" s="709"/>
      <c r="BI40" s="263"/>
      <c r="BJ40" s="263"/>
      <c r="BK40" s="263"/>
      <c r="BL40" s="263"/>
      <c r="BM40" s="263"/>
      <c r="BN40" s="263"/>
      <c r="BO40" s="709"/>
      <c r="BP40" s="263"/>
      <c r="BQ40" s="263"/>
      <c r="BR40" s="263"/>
      <c r="BS40" s="530">
        <f>SUM(AN40:BR40)-BT40</f>
        <v>0</v>
      </c>
      <c r="BT40" s="530">
        <f>SUMIF($AN$4:$BR$4,"CN",AN40:BR40)</f>
        <v>0</v>
      </c>
      <c r="BU40" s="530">
        <f>SUMIF($AN$4:$BR$4,"LT",AN40:BR40)</f>
        <v>0</v>
      </c>
      <c r="BV40" s="681"/>
      <c r="BW40" s="681">
        <f>COUNTIFS(AN40:BR40,"&gt;="&amp;$BW$3,$AN$4:$BR$4,"&lt;&gt;CN")</f>
        <v>0</v>
      </c>
      <c r="BX40" s="798">
        <f t="shared" si="30"/>
        <v>216</v>
      </c>
      <c r="BY40" s="801">
        <f t="shared" si="31"/>
        <v>108</v>
      </c>
      <c r="BZ40" s="639"/>
    </row>
    <row r="41" spans="1:80" ht="21" customHeight="1">
      <c r="A41" s="680">
        <f>'BANG LUONG 1'!A41</f>
        <v>37</v>
      </c>
      <c r="B41" s="263" t="str">
        <f>'BANG LUONG 1'!B41</f>
        <v>NV37</v>
      </c>
      <c r="C41" s="263" t="str">
        <f>'BANG LUONG 1'!C41</f>
        <v>Nguyễn Tấn Kiệt</v>
      </c>
      <c r="D41" s="263" t="str">
        <f>'BANG LUONG 1'!D41</f>
        <v xml:space="preserve">Công nhân </v>
      </c>
      <c r="E41" s="943">
        <v>1</v>
      </c>
      <c r="F41" s="943">
        <v>1</v>
      </c>
      <c r="G41" s="943">
        <v>1</v>
      </c>
      <c r="H41" s="943">
        <v>1</v>
      </c>
      <c r="I41" s="943">
        <v>1</v>
      </c>
      <c r="J41" s="943">
        <v>1</v>
      </c>
      <c r="K41" s="944"/>
      <c r="L41" s="943">
        <v>1</v>
      </c>
      <c r="M41" s="943">
        <v>1</v>
      </c>
      <c r="N41" s="943">
        <v>1</v>
      </c>
      <c r="O41" s="943">
        <v>1</v>
      </c>
      <c r="P41" s="943">
        <v>1</v>
      </c>
      <c r="Q41" s="943">
        <v>1</v>
      </c>
      <c r="R41" s="944"/>
      <c r="S41" s="943">
        <v>1</v>
      </c>
      <c r="T41" s="943">
        <v>1</v>
      </c>
      <c r="U41" s="943">
        <v>1</v>
      </c>
      <c r="V41" s="943">
        <v>1</v>
      </c>
      <c r="W41" s="943">
        <v>1</v>
      </c>
      <c r="X41" s="943">
        <v>1</v>
      </c>
      <c r="Y41" s="944"/>
      <c r="Z41" s="943">
        <v>1</v>
      </c>
      <c r="AA41" s="943">
        <v>1</v>
      </c>
      <c r="AB41" s="943">
        <v>1</v>
      </c>
      <c r="AC41" s="943">
        <v>1</v>
      </c>
      <c r="AD41" s="943">
        <v>1</v>
      </c>
      <c r="AE41" s="943">
        <v>1</v>
      </c>
      <c r="AF41" s="944"/>
      <c r="AG41" s="943">
        <v>1</v>
      </c>
      <c r="AH41" s="943">
        <v>1</v>
      </c>
      <c r="AI41" s="943">
        <v>1</v>
      </c>
      <c r="AJ41" s="558">
        <f>SUM(E41:AI41)-AK41</f>
        <v>27</v>
      </c>
      <c r="AK41" s="558">
        <f>SUMIF($E$4:$AI$4,"LT",E41:AI41)</f>
        <v>0</v>
      </c>
      <c r="AL41" s="558">
        <f>COUNTIF(E41:AI41,"P")</f>
        <v>0</v>
      </c>
      <c r="AM41" s="558">
        <f>COUNTIF(E41:AI41,"LT")</f>
        <v>0</v>
      </c>
      <c r="AN41" s="263"/>
      <c r="AO41" s="263"/>
      <c r="AP41" s="263"/>
      <c r="AQ41" s="263"/>
      <c r="AR41" s="263"/>
      <c r="AS41" s="263"/>
      <c r="AT41" s="709"/>
      <c r="AU41" s="263"/>
      <c r="AV41" s="263"/>
      <c r="AW41" s="263"/>
      <c r="AX41" s="263"/>
      <c r="AY41" s="263"/>
      <c r="AZ41" s="263"/>
      <c r="BA41" s="709"/>
      <c r="BB41" s="263"/>
      <c r="BC41" s="263"/>
      <c r="BD41" s="263"/>
      <c r="BE41" s="263"/>
      <c r="BF41" s="263"/>
      <c r="BG41" s="263"/>
      <c r="BH41" s="709"/>
      <c r="BI41" s="263"/>
      <c r="BJ41" s="263"/>
      <c r="BK41" s="263"/>
      <c r="BL41" s="263"/>
      <c r="BM41" s="263"/>
      <c r="BN41" s="263"/>
      <c r="BO41" s="709"/>
      <c r="BP41" s="263"/>
      <c r="BQ41" s="263"/>
      <c r="BR41" s="263"/>
      <c r="BS41" s="530">
        <f>SUM(AN41:BR41)-BT41</f>
        <v>0</v>
      </c>
      <c r="BT41" s="530">
        <f>SUMIF($AN$4:$BR$4,"CN",AN41:BR41)</f>
        <v>0</v>
      </c>
      <c r="BU41" s="530">
        <f>SUMIF($AN$4:$BR$4,"LT",AN41:BR41)</f>
        <v>0</v>
      </c>
      <c r="BV41" s="681"/>
      <c r="BW41" s="681">
        <f>COUNTIFS(AN41:BR41,"&gt;="&amp;$BW$3,$AN$4:$BR$4,"&lt;&gt;CN")</f>
        <v>0</v>
      </c>
      <c r="BX41" s="798">
        <f t="shared" si="30"/>
        <v>216</v>
      </c>
      <c r="BY41" s="801">
        <f t="shared" si="31"/>
        <v>108</v>
      </c>
      <c r="BZ41" s="639"/>
      <c r="CA41" s="531"/>
      <c r="CB41" s="531"/>
    </row>
    <row r="42" spans="1:80" ht="21" customHeight="1">
      <c r="A42" s="680"/>
      <c r="B42" s="263" t="str">
        <f>'BANG LUONG 1'!B42</f>
        <v>NV39</v>
      </c>
      <c r="C42" s="263" t="str">
        <f>'BANG LUONG 1'!C42</f>
        <v>Lê Ngọc Đức</v>
      </c>
      <c r="D42" s="263" t="str">
        <f>'BANG LUONG 1'!D42</f>
        <v xml:space="preserve">Công nhân </v>
      </c>
      <c r="E42" s="943">
        <v>1</v>
      </c>
      <c r="F42" s="943">
        <v>1</v>
      </c>
      <c r="G42" s="943">
        <v>1</v>
      </c>
      <c r="H42" s="943">
        <v>1</v>
      </c>
      <c r="I42" s="943">
        <v>1</v>
      </c>
      <c r="J42" s="943">
        <v>1</v>
      </c>
      <c r="K42" s="944"/>
      <c r="L42" s="943">
        <v>1</v>
      </c>
      <c r="M42" s="943">
        <v>1</v>
      </c>
      <c r="N42" s="943">
        <v>1</v>
      </c>
      <c r="O42" s="943">
        <v>1</v>
      </c>
      <c r="P42" s="943">
        <v>1</v>
      </c>
      <c r="Q42" s="943">
        <v>1</v>
      </c>
      <c r="R42" s="944"/>
      <c r="S42" s="943">
        <v>1</v>
      </c>
      <c r="T42" s="943">
        <v>1</v>
      </c>
      <c r="U42" s="943">
        <v>1</v>
      </c>
      <c r="V42" s="943">
        <v>1</v>
      </c>
      <c r="W42" s="943">
        <v>1</v>
      </c>
      <c r="X42" s="943">
        <v>1</v>
      </c>
      <c r="Y42" s="944"/>
      <c r="Z42" s="943">
        <v>1</v>
      </c>
      <c r="AA42" s="943">
        <v>1</v>
      </c>
      <c r="AB42" s="943">
        <v>1</v>
      </c>
      <c r="AC42" s="943">
        <v>1</v>
      </c>
      <c r="AD42" s="943">
        <v>1</v>
      </c>
      <c r="AE42" s="943">
        <v>1</v>
      </c>
      <c r="AF42" s="944"/>
      <c r="AG42" s="943">
        <v>1</v>
      </c>
      <c r="AH42" s="943">
        <v>1</v>
      </c>
      <c r="AI42" s="943">
        <v>1</v>
      </c>
      <c r="AJ42" s="558">
        <f t="shared" ref="AJ42:AJ43" si="36">SUM(E42:AI42)-AK42</f>
        <v>27</v>
      </c>
      <c r="AK42" s="558">
        <f t="shared" ref="AK42:AK43" si="37">SUMIF($E$4:$AI$4,"LT",E42:AI42)</f>
        <v>0</v>
      </c>
      <c r="AL42" s="558">
        <f t="shared" ref="AL42:AL43" si="38">COUNTIF(E42:AI42,"P")</f>
        <v>0</v>
      </c>
      <c r="AM42" s="558">
        <f t="shared" ref="AM42:AM43" si="39">COUNTIF(E42:AI42,"LT")</f>
        <v>0</v>
      </c>
      <c r="AN42" s="263"/>
      <c r="AO42" s="263"/>
      <c r="AP42" s="263"/>
      <c r="AQ42" s="263"/>
      <c r="AR42" s="263"/>
      <c r="AS42" s="263"/>
      <c r="AT42" s="709"/>
      <c r="AU42" s="263"/>
      <c r="AV42" s="263"/>
      <c r="AW42" s="263"/>
      <c r="AX42" s="263"/>
      <c r="AY42" s="263"/>
      <c r="AZ42" s="263"/>
      <c r="BA42" s="709"/>
      <c r="BB42" s="263"/>
      <c r="BC42" s="263"/>
      <c r="BD42" s="263"/>
      <c r="BE42" s="263"/>
      <c r="BF42" s="263"/>
      <c r="BG42" s="263"/>
      <c r="BH42" s="709"/>
      <c r="BI42" s="263"/>
      <c r="BJ42" s="263"/>
      <c r="BK42" s="263"/>
      <c r="BL42" s="263"/>
      <c r="BM42" s="263"/>
      <c r="BN42" s="263"/>
      <c r="BO42" s="709"/>
      <c r="BP42" s="263"/>
      <c r="BQ42" s="263"/>
      <c r="BR42" s="263"/>
      <c r="BS42" s="530">
        <f t="shared" ref="BS42:BS44" si="40">SUM(AN42:BR42)-BT42</f>
        <v>0</v>
      </c>
      <c r="BT42" s="530">
        <f t="shared" ref="BT42:BT44" si="41">SUMIF($AN$4:$BR$4,"CN",AN42:BR42)</f>
        <v>0</v>
      </c>
      <c r="BU42" s="530">
        <f t="shared" ref="BU42:BU44" si="42">SUMIF($AN$4:$BR$4,"LT",AN42:BR42)</f>
        <v>0</v>
      </c>
      <c r="BV42" s="681"/>
      <c r="BW42" s="681">
        <f t="shared" ref="BW42:BW44" si="43">COUNTIFS(AN42:BR42,"&gt;="&amp;$BW$3,$AN$4:$BR$4,"&lt;&gt;CN")</f>
        <v>0</v>
      </c>
      <c r="BX42" s="798">
        <f>+AJ42*8+BS42+BT42+AK42*8</f>
        <v>216</v>
      </c>
      <c r="BY42" s="801">
        <f t="shared" si="31"/>
        <v>108</v>
      </c>
      <c r="BZ42" s="794"/>
      <c r="CA42" s="794"/>
      <c r="CB42" s="794"/>
    </row>
    <row r="43" spans="1:80" ht="21" customHeight="1">
      <c r="A43" s="680"/>
      <c r="B43" s="263" t="str">
        <f>'BANG LUONG 1'!B43</f>
        <v>NV41</v>
      </c>
      <c r="C43" s="263" t="str">
        <f>'BANG LUONG 1'!C43</f>
        <v>Bùi Văn Ây</v>
      </c>
      <c r="D43" s="263" t="str">
        <f>'BANG LUONG 1'!D43</f>
        <v xml:space="preserve">Công nhân </v>
      </c>
      <c r="E43" s="943">
        <v>1</v>
      </c>
      <c r="F43" s="943">
        <v>1</v>
      </c>
      <c r="G43" s="943">
        <v>1</v>
      </c>
      <c r="H43" s="943">
        <v>1</v>
      </c>
      <c r="I43" s="943">
        <v>1</v>
      </c>
      <c r="J43" s="943">
        <v>1</v>
      </c>
      <c r="K43" s="944"/>
      <c r="L43" s="943">
        <v>1</v>
      </c>
      <c r="M43" s="943">
        <v>1</v>
      </c>
      <c r="N43" s="943">
        <v>1</v>
      </c>
      <c r="O43" s="943">
        <v>1</v>
      </c>
      <c r="P43" s="943">
        <v>1</v>
      </c>
      <c r="Q43" s="943">
        <v>1</v>
      </c>
      <c r="R43" s="944"/>
      <c r="S43" s="943">
        <v>1</v>
      </c>
      <c r="T43" s="943">
        <v>1</v>
      </c>
      <c r="U43" s="943">
        <v>1</v>
      </c>
      <c r="V43" s="943">
        <v>1</v>
      </c>
      <c r="W43" s="943">
        <v>1</v>
      </c>
      <c r="X43" s="943">
        <v>1</v>
      </c>
      <c r="Y43" s="944"/>
      <c r="Z43" s="943">
        <v>1</v>
      </c>
      <c r="AA43" s="943">
        <v>1</v>
      </c>
      <c r="AB43" s="943">
        <v>1</v>
      </c>
      <c r="AC43" s="943">
        <v>1</v>
      </c>
      <c r="AD43" s="943">
        <v>1</v>
      </c>
      <c r="AE43" s="943">
        <v>1</v>
      </c>
      <c r="AF43" s="944"/>
      <c r="AG43" s="943">
        <v>1</v>
      </c>
      <c r="AH43" s="943">
        <v>1</v>
      </c>
      <c r="AI43" s="943">
        <v>1</v>
      </c>
      <c r="AJ43" s="558">
        <f t="shared" si="36"/>
        <v>27</v>
      </c>
      <c r="AK43" s="558">
        <f t="shared" si="37"/>
        <v>0</v>
      </c>
      <c r="AL43" s="558">
        <f t="shared" si="38"/>
        <v>0</v>
      </c>
      <c r="AM43" s="558">
        <f t="shared" si="39"/>
        <v>0</v>
      </c>
      <c r="AN43" s="263"/>
      <c r="AO43" s="263"/>
      <c r="AP43" s="263"/>
      <c r="AQ43" s="263"/>
      <c r="AR43" s="263"/>
      <c r="AS43" s="263"/>
      <c r="AT43" s="709"/>
      <c r="AU43" s="263"/>
      <c r="AV43" s="263"/>
      <c r="AW43" s="263"/>
      <c r="AX43" s="263"/>
      <c r="AY43" s="263"/>
      <c r="AZ43" s="263"/>
      <c r="BA43" s="709"/>
      <c r="BB43" s="263"/>
      <c r="BC43" s="263"/>
      <c r="BD43" s="263"/>
      <c r="BE43" s="263"/>
      <c r="BF43" s="263"/>
      <c r="BG43" s="263"/>
      <c r="BH43" s="709"/>
      <c r="BI43" s="263"/>
      <c r="BJ43" s="263"/>
      <c r="BK43" s="263"/>
      <c r="BL43" s="263"/>
      <c r="BM43" s="263"/>
      <c r="BN43" s="263"/>
      <c r="BO43" s="709"/>
      <c r="BP43" s="263"/>
      <c r="BQ43" s="263"/>
      <c r="BR43" s="263"/>
      <c r="BS43" s="530">
        <f t="shared" si="40"/>
        <v>0</v>
      </c>
      <c r="BT43" s="530">
        <f t="shared" si="41"/>
        <v>0</v>
      </c>
      <c r="BU43" s="530">
        <f t="shared" si="42"/>
        <v>0</v>
      </c>
      <c r="BV43" s="681"/>
      <c r="BW43" s="681">
        <f t="shared" si="43"/>
        <v>0</v>
      </c>
      <c r="BX43" s="798">
        <f t="shared" si="30"/>
        <v>216</v>
      </c>
      <c r="BY43" s="801">
        <f t="shared" si="31"/>
        <v>108</v>
      </c>
      <c r="BZ43" s="794"/>
      <c r="CA43" s="794"/>
      <c r="CB43" s="794"/>
    </row>
    <row r="44" spans="1:80" ht="21" customHeight="1">
      <c r="A44" s="680"/>
      <c r="B44" s="263" t="str">
        <f>'BANG LUONG 1'!B44</f>
        <v>NV45</v>
      </c>
      <c r="C44" s="263" t="str">
        <f>'BANG LUONG 1'!C44</f>
        <v>Đặng Hải Bằng</v>
      </c>
      <c r="D44" s="263" t="str">
        <f>'BANG LUONG 1'!D44</f>
        <v xml:space="preserve">Công nhân </v>
      </c>
      <c r="E44" s="943">
        <v>1</v>
      </c>
      <c r="F44" s="943">
        <v>1</v>
      </c>
      <c r="G44" s="943">
        <v>1</v>
      </c>
      <c r="H44" s="943">
        <v>1</v>
      </c>
      <c r="I44" s="943">
        <v>1</v>
      </c>
      <c r="J44" s="943">
        <v>1</v>
      </c>
      <c r="K44" s="944"/>
      <c r="L44" s="943">
        <v>1</v>
      </c>
      <c r="M44" s="943">
        <v>1</v>
      </c>
      <c r="N44" s="943">
        <v>1</v>
      </c>
      <c r="O44" s="943">
        <v>1</v>
      </c>
      <c r="P44" s="943">
        <v>1</v>
      </c>
      <c r="Q44" s="943">
        <v>1</v>
      </c>
      <c r="R44" s="944"/>
      <c r="S44" s="943">
        <v>1</v>
      </c>
      <c r="T44" s="943">
        <v>1</v>
      </c>
      <c r="U44" s="943">
        <v>1</v>
      </c>
      <c r="V44" s="943">
        <v>1</v>
      </c>
      <c r="W44" s="943">
        <v>1</v>
      </c>
      <c r="X44" s="943">
        <v>1</v>
      </c>
      <c r="Y44" s="944"/>
      <c r="Z44" s="943">
        <v>1</v>
      </c>
      <c r="AA44" s="943">
        <v>1</v>
      </c>
      <c r="AB44" s="943">
        <v>1</v>
      </c>
      <c r="AC44" s="943">
        <v>1</v>
      </c>
      <c r="AD44" s="943">
        <v>1</v>
      </c>
      <c r="AE44" s="943">
        <v>1</v>
      </c>
      <c r="AF44" s="944"/>
      <c r="AG44" s="943">
        <v>1</v>
      </c>
      <c r="AH44" s="943">
        <v>1</v>
      </c>
      <c r="AI44" s="943">
        <v>1</v>
      </c>
      <c r="AJ44" s="558">
        <f t="shared" ref="AJ44" si="44">SUM(E44:AI44)-AK44</f>
        <v>27</v>
      </c>
      <c r="AK44" s="558">
        <f t="shared" ref="AK44" si="45">SUMIF($E$4:$AI$4,"LT",E44:AI44)</f>
        <v>0</v>
      </c>
      <c r="AL44" s="558">
        <f t="shared" ref="AL44" si="46">COUNTIF(E44:AI44,"P")</f>
        <v>0</v>
      </c>
      <c r="AM44" s="558">
        <f t="shared" ref="AM44" si="47">COUNTIF(E44:AI44,"LT")</f>
        <v>0</v>
      </c>
      <c r="AN44" s="263"/>
      <c r="AO44" s="263"/>
      <c r="AP44" s="263"/>
      <c r="AQ44" s="263"/>
      <c r="AR44" s="263"/>
      <c r="AS44" s="263"/>
      <c r="AT44" s="709"/>
      <c r="AU44" s="263"/>
      <c r="AV44" s="263"/>
      <c r="AW44" s="263"/>
      <c r="AX44" s="263"/>
      <c r="AY44" s="263"/>
      <c r="AZ44" s="263"/>
      <c r="BA44" s="709"/>
      <c r="BB44" s="263"/>
      <c r="BC44" s="263"/>
      <c r="BD44" s="263"/>
      <c r="BE44" s="263"/>
      <c r="BF44" s="263"/>
      <c r="BG44" s="263"/>
      <c r="BH44" s="709"/>
      <c r="BI44" s="263"/>
      <c r="BJ44" s="263"/>
      <c r="BK44" s="263"/>
      <c r="BL44" s="263"/>
      <c r="BM44" s="263"/>
      <c r="BN44" s="263"/>
      <c r="BO44" s="709"/>
      <c r="BP44" s="263"/>
      <c r="BQ44" s="263"/>
      <c r="BR44" s="263"/>
      <c r="BS44" s="530">
        <f t="shared" si="40"/>
        <v>0</v>
      </c>
      <c r="BT44" s="530">
        <f t="shared" si="41"/>
        <v>0</v>
      </c>
      <c r="BU44" s="530">
        <f t="shared" si="42"/>
        <v>0</v>
      </c>
      <c r="BV44" s="681"/>
      <c r="BW44" s="681">
        <f t="shared" si="43"/>
        <v>0</v>
      </c>
      <c r="BX44" s="798">
        <f t="shared" si="30"/>
        <v>216</v>
      </c>
      <c r="BY44" s="801">
        <f t="shared" si="31"/>
        <v>108</v>
      </c>
      <c r="BZ44" s="794"/>
      <c r="CA44" s="794"/>
      <c r="CB44" s="794"/>
    </row>
    <row r="45" spans="1:80" ht="21" customHeight="1">
      <c r="A45" s="680"/>
      <c r="B45" s="263" t="str">
        <f>'BANG LUONG 1'!B45</f>
        <v>NV49</v>
      </c>
      <c r="C45" s="263" t="str">
        <f>'BANG LUONG 1'!C45</f>
        <v>Nguyễn Đình Tâm</v>
      </c>
      <c r="D45" s="263" t="str">
        <f>'BANG LUONG 1'!D45</f>
        <v xml:space="preserve">Công nhân </v>
      </c>
      <c r="E45" s="943">
        <v>1</v>
      </c>
      <c r="F45" s="943">
        <v>1</v>
      </c>
      <c r="G45" s="943">
        <v>1</v>
      </c>
      <c r="H45" s="943">
        <v>1</v>
      </c>
      <c r="I45" s="943">
        <v>1</v>
      </c>
      <c r="J45" s="943">
        <v>1</v>
      </c>
      <c r="K45" s="944"/>
      <c r="L45" s="943">
        <v>1</v>
      </c>
      <c r="M45" s="943">
        <v>1</v>
      </c>
      <c r="N45" s="943">
        <v>1</v>
      </c>
      <c r="O45" s="943">
        <v>1</v>
      </c>
      <c r="P45" s="943">
        <v>1</v>
      </c>
      <c r="Q45" s="943">
        <v>1</v>
      </c>
      <c r="R45" s="944"/>
      <c r="S45" s="943">
        <v>1</v>
      </c>
      <c r="T45" s="943">
        <v>1</v>
      </c>
      <c r="U45" s="943">
        <v>1</v>
      </c>
      <c r="V45" s="943">
        <v>1</v>
      </c>
      <c r="W45" s="943">
        <v>1</v>
      </c>
      <c r="X45" s="943">
        <v>1</v>
      </c>
      <c r="Y45" s="944"/>
      <c r="Z45" s="943">
        <v>1</v>
      </c>
      <c r="AA45" s="943">
        <v>1</v>
      </c>
      <c r="AB45" s="943">
        <v>1</v>
      </c>
      <c r="AC45" s="943">
        <v>1</v>
      </c>
      <c r="AD45" s="943">
        <v>1</v>
      </c>
      <c r="AE45" s="943">
        <v>1</v>
      </c>
      <c r="AF45" s="944"/>
      <c r="AG45" s="943">
        <v>1</v>
      </c>
      <c r="AH45" s="943">
        <v>1</v>
      </c>
      <c r="AI45" s="943">
        <v>1</v>
      </c>
      <c r="AJ45" s="558">
        <f t="shared" ref="AJ45" si="48">SUM(E45:AI45)-AK45</f>
        <v>27</v>
      </c>
      <c r="AK45" s="558">
        <f t="shared" ref="AK45" si="49">SUMIF($E$4:$AI$4,"LT",E45:AI45)</f>
        <v>0</v>
      </c>
      <c r="AL45" s="558">
        <f t="shared" ref="AL45" si="50">COUNTIF(E45:AI45,"P")</f>
        <v>0</v>
      </c>
      <c r="AM45" s="558">
        <f t="shared" ref="AM45" si="51">COUNTIF(E45:AI45,"LT")</f>
        <v>0</v>
      </c>
      <c r="AN45" s="263"/>
      <c r="AO45" s="263"/>
      <c r="AP45" s="263"/>
      <c r="AQ45" s="263"/>
      <c r="AR45" s="263"/>
      <c r="AS45" s="263"/>
      <c r="AT45" s="709"/>
      <c r="AU45" s="263"/>
      <c r="AV45" s="263"/>
      <c r="AW45" s="263"/>
      <c r="AX45" s="263"/>
      <c r="AY45" s="263"/>
      <c r="AZ45" s="263"/>
      <c r="BA45" s="709"/>
      <c r="BB45" s="263"/>
      <c r="BC45" s="263"/>
      <c r="BD45" s="263"/>
      <c r="BE45" s="263"/>
      <c r="BF45" s="263"/>
      <c r="BG45" s="263"/>
      <c r="BH45" s="709"/>
      <c r="BI45" s="263"/>
      <c r="BJ45" s="263"/>
      <c r="BK45" s="263"/>
      <c r="BL45" s="263"/>
      <c r="BM45" s="263"/>
      <c r="BN45" s="263"/>
      <c r="BO45" s="709"/>
      <c r="BP45" s="263"/>
      <c r="BQ45" s="263"/>
      <c r="BR45" s="263"/>
      <c r="BS45" s="530">
        <f t="shared" ref="BS45" si="52">SUM(AN45:BR45)-BT45</f>
        <v>0</v>
      </c>
      <c r="BT45" s="530">
        <f t="shared" ref="BT45" si="53">SUMIF($AN$4:$BR$4,"CN",AN45:BR45)</f>
        <v>0</v>
      </c>
      <c r="BU45" s="530">
        <f t="shared" ref="BU45" si="54">SUMIF($AN$4:$BR$4,"LT",AN45:BR45)</f>
        <v>0</v>
      </c>
      <c r="BV45" s="681"/>
      <c r="BW45" s="681"/>
      <c r="BX45" s="798">
        <f t="shared" si="30"/>
        <v>216</v>
      </c>
      <c r="BY45" s="801">
        <f t="shared" si="31"/>
        <v>108</v>
      </c>
      <c r="BZ45" s="794"/>
      <c r="CA45" s="794"/>
      <c r="CB45" s="794"/>
    </row>
    <row r="46" spans="1:80" ht="21" customHeight="1">
      <c r="A46" s="680"/>
      <c r="B46" s="263" t="str">
        <f>'BANG LUONG 1'!B46</f>
        <v>NV51</v>
      </c>
      <c r="C46" s="263" t="str">
        <f>'BANG LUONG 1'!C46</f>
        <v>Nguyễn Văn Chương</v>
      </c>
      <c r="D46" s="263" t="str">
        <f>'BANG LUONG 1'!D46</f>
        <v xml:space="preserve">Công nhân </v>
      </c>
      <c r="E46" s="943">
        <v>1</v>
      </c>
      <c r="F46" s="943">
        <v>1</v>
      </c>
      <c r="G46" s="943">
        <v>1</v>
      </c>
      <c r="H46" s="943">
        <v>1</v>
      </c>
      <c r="I46" s="943">
        <v>1</v>
      </c>
      <c r="J46" s="943">
        <v>1</v>
      </c>
      <c r="K46" s="944"/>
      <c r="L46" s="943">
        <v>1</v>
      </c>
      <c r="M46" s="943">
        <v>1</v>
      </c>
      <c r="N46" s="943">
        <v>1</v>
      </c>
      <c r="O46" s="943">
        <v>1</v>
      </c>
      <c r="P46" s="943">
        <v>1</v>
      </c>
      <c r="Q46" s="943">
        <v>1</v>
      </c>
      <c r="R46" s="944"/>
      <c r="S46" s="943">
        <v>1</v>
      </c>
      <c r="T46" s="943">
        <v>1</v>
      </c>
      <c r="U46" s="943">
        <v>1</v>
      </c>
      <c r="V46" s="943">
        <v>1</v>
      </c>
      <c r="W46" s="943">
        <v>1</v>
      </c>
      <c r="X46" s="943">
        <v>1</v>
      </c>
      <c r="Y46" s="944"/>
      <c r="Z46" s="943">
        <v>1</v>
      </c>
      <c r="AA46" s="943">
        <v>1</v>
      </c>
      <c r="AB46" s="943">
        <v>1</v>
      </c>
      <c r="AC46" s="943">
        <v>1</v>
      </c>
      <c r="AD46" s="943">
        <v>1</v>
      </c>
      <c r="AE46" s="943">
        <v>1</v>
      </c>
      <c r="AF46" s="944"/>
      <c r="AG46" s="943">
        <v>1</v>
      </c>
      <c r="AH46" s="943">
        <v>1</v>
      </c>
      <c r="AI46" s="943">
        <v>1</v>
      </c>
      <c r="AJ46" s="558">
        <f t="shared" ref="AJ46" si="55">SUM(E46:AI46)-AK46</f>
        <v>27</v>
      </c>
      <c r="AK46" s="558">
        <f t="shared" ref="AK46" si="56">SUMIF($E$4:$AI$4,"LT",E46:AI46)</f>
        <v>0</v>
      </c>
      <c r="AL46" s="558">
        <f t="shared" ref="AL46" si="57">COUNTIF(E46:AI46,"P")</f>
        <v>0</v>
      </c>
      <c r="AM46" s="558">
        <f t="shared" ref="AM46" si="58">COUNTIF(E46:AI46,"LT")</f>
        <v>0</v>
      </c>
      <c r="AN46" s="263"/>
      <c r="AO46" s="263"/>
      <c r="AP46" s="263"/>
      <c r="AQ46" s="263"/>
      <c r="AR46" s="263"/>
      <c r="AS46" s="263"/>
      <c r="AT46" s="709"/>
      <c r="AU46" s="263"/>
      <c r="AV46" s="263"/>
      <c r="AW46" s="263"/>
      <c r="AX46" s="263"/>
      <c r="AY46" s="263"/>
      <c r="AZ46" s="263"/>
      <c r="BA46" s="709"/>
      <c r="BB46" s="263"/>
      <c r="BC46" s="263"/>
      <c r="BD46" s="263"/>
      <c r="BE46" s="263"/>
      <c r="BF46" s="263"/>
      <c r="BG46" s="263"/>
      <c r="BH46" s="709"/>
      <c r="BI46" s="263"/>
      <c r="BJ46" s="263"/>
      <c r="BK46" s="263"/>
      <c r="BL46" s="263"/>
      <c r="BM46" s="263"/>
      <c r="BN46" s="263"/>
      <c r="BO46" s="709"/>
      <c r="BP46" s="263"/>
      <c r="BQ46" s="263"/>
      <c r="BR46" s="263"/>
      <c r="BS46" s="530">
        <f t="shared" ref="BS46" si="59">SUM(AN46:BR46)-BT46</f>
        <v>0</v>
      </c>
      <c r="BT46" s="530">
        <f t="shared" ref="BT46" si="60">SUMIF($AN$4:$BR$4,"CN",AN46:BR46)</f>
        <v>0</v>
      </c>
      <c r="BU46" s="530">
        <f t="shared" ref="BU46" si="61">SUMIF($AN$4:$BR$4,"LT",AN46:BR46)</f>
        <v>0</v>
      </c>
      <c r="BV46" s="681"/>
      <c r="BW46" s="681"/>
      <c r="BX46" s="798">
        <f t="shared" si="30"/>
        <v>216</v>
      </c>
      <c r="BY46" s="801">
        <f t="shared" si="31"/>
        <v>108</v>
      </c>
      <c r="BZ46" s="794"/>
      <c r="CA46" s="794"/>
      <c r="CB46" s="794"/>
    </row>
    <row r="47" spans="1:80" s="711" customFormat="1" ht="15" customHeight="1">
      <c r="A47" s="709"/>
      <c r="B47" s="714"/>
      <c r="C47" s="715" t="s">
        <v>740</v>
      </c>
      <c r="D47" s="714"/>
      <c r="E47" s="714"/>
      <c r="F47" s="714"/>
      <c r="G47" s="714"/>
      <c r="H47" s="714"/>
      <c r="I47" s="714"/>
      <c r="J47" s="714"/>
      <c r="K47" s="714"/>
      <c r="L47" s="714"/>
      <c r="M47" s="714"/>
      <c r="N47" s="714"/>
      <c r="O47" s="714"/>
      <c r="P47" s="714"/>
      <c r="Q47" s="714"/>
      <c r="R47" s="714"/>
      <c r="S47" s="714"/>
      <c r="T47" s="714"/>
      <c r="U47" s="714"/>
      <c r="V47" s="714"/>
      <c r="W47" s="714"/>
      <c r="X47" s="714"/>
      <c r="Y47" s="714"/>
      <c r="Z47" s="714"/>
      <c r="AA47" s="714"/>
      <c r="AB47" s="714"/>
      <c r="AC47" s="714"/>
      <c r="AD47" s="714"/>
      <c r="AE47" s="714"/>
      <c r="AF47" s="714"/>
      <c r="AG47" s="714"/>
      <c r="AH47" s="714"/>
      <c r="AI47" s="714"/>
      <c r="AJ47" s="714"/>
      <c r="AK47" s="714"/>
      <c r="AL47" s="714"/>
      <c r="AM47" s="714"/>
      <c r="AN47" s="942"/>
      <c r="AO47" s="942"/>
      <c r="AP47" s="942"/>
      <c r="AQ47" s="942"/>
      <c r="AR47" s="942"/>
      <c r="AS47" s="942"/>
      <c r="AT47" s="709"/>
      <c r="AU47" s="942"/>
      <c r="AV47" s="942"/>
      <c r="AW47" s="942"/>
      <c r="AX47" s="942"/>
      <c r="AY47" s="942"/>
      <c r="AZ47" s="942"/>
      <c r="BA47" s="709"/>
      <c r="BB47" s="942"/>
      <c r="BC47" s="942"/>
      <c r="BD47" s="942"/>
      <c r="BE47" s="942"/>
      <c r="BF47" s="942"/>
      <c r="BG47" s="942"/>
      <c r="BH47" s="709"/>
      <c r="BI47" s="942"/>
      <c r="BJ47" s="942"/>
      <c r="BK47" s="942"/>
      <c r="BL47" s="942"/>
      <c r="BM47" s="942"/>
      <c r="BN47" s="942"/>
      <c r="BO47" s="709"/>
      <c r="BP47" s="942"/>
      <c r="BQ47" s="942"/>
      <c r="BR47" s="942"/>
      <c r="BS47" s="714"/>
      <c r="BT47" s="714"/>
      <c r="BU47" s="714"/>
      <c r="BV47" s="714"/>
      <c r="BW47" s="714"/>
      <c r="BX47" s="798">
        <f t="shared" si="30"/>
        <v>0</v>
      </c>
      <c r="BY47" s="801">
        <f t="shared" ref="BY47:BY49" si="62">+BX47/2</f>
        <v>0</v>
      </c>
    </row>
    <row r="48" spans="1:80" s="654" customFormat="1" ht="21" customHeight="1">
      <c r="A48" s="680">
        <f>'BANG LUONG 1'!A48</f>
        <v>42</v>
      </c>
      <c r="B48" s="263" t="str">
        <f>'BANG LUONG 1'!B48</f>
        <v>NV42</v>
      </c>
      <c r="C48" s="263" t="str">
        <f>'[1]BANG LUONG 1'!C8</f>
        <v>Ngô Đình Chung</v>
      </c>
      <c r="D48" s="263" t="str">
        <f>'[1]BANG LUONG 1'!D8</f>
        <v>TB ATLĐ</v>
      </c>
      <c r="E48" s="943">
        <v>1</v>
      </c>
      <c r="F48" s="943">
        <v>1</v>
      </c>
      <c r="G48" s="943">
        <v>1</v>
      </c>
      <c r="H48" s="943">
        <v>1</v>
      </c>
      <c r="I48" s="943">
        <v>1</v>
      </c>
      <c r="J48" s="943">
        <v>1</v>
      </c>
      <c r="K48" s="944"/>
      <c r="L48" s="943">
        <v>1</v>
      </c>
      <c r="M48" s="943">
        <v>1</v>
      </c>
      <c r="N48" s="943">
        <v>1</v>
      </c>
      <c r="O48" s="943">
        <v>1</v>
      </c>
      <c r="P48" s="943">
        <v>1</v>
      </c>
      <c r="Q48" s="943">
        <v>1</v>
      </c>
      <c r="R48" s="944"/>
      <c r="S48" s="943">
        <v>1</v>
      </c>
      <c r="T48" s="943">
        <v>1</v>
      </c>
      <c r="U48" s="943">
        <v>1</v>
      </c>
      <c r="V48" s="943">
        <v>1</v>
      </c>
      <c r="W48" s="943">
        <v>1</v>
      </c>
      <c r="X48" s="943">
        <v>1</v>
      </c>
      <c r="Y48" s="944"/>
      <c r="Z48" s="943">
        <v>1</v>
      </c>
      <c r="AA48" s="943">
        <v>1</v>
      </c>
      <c r="AB48" s="943">
        <v>1</v>
      </c>
      <c r="AC48" s="943">
        <v>1</v>
      </c>
      <c r="AD48" s="943">
        <v>1</v>
      </c>
      <c r="AE48" s="943">
        <v>1</v>
      </c>
      <c r="AF48" s="944"/>
      <c r="AG48" s="943">
        <v>1</v>
      </c>
      <c r="AH48" s="943">
        <v>1</v>
      </c>
      <c r="AI48" s="943">
        <v>1</v>
      </c>
      <c r="AJ48" s="558">
        <f>SUM(E48:AI48)-AK48</f>
        <v>27</v>
      </c>
      <c r="AK48" s="558">
        <f>SUMIF($E$4:$AI$4,"LT",E48:AI48)</f>
        <v>0</v>
      </c>
      <c r="AL48" s="558">
        <f>COUNTIF(E48:AI48,"P")</f>
        <v>0</v>
      </c>
      <c r="AM48" s="558">
        <f>COUNTIF(E48:AI48,"LT")</f>
        <v>0</v>
      </c>
      <c r="AN48" s="263"/>
      <c r="AO48" s="263"/>
      <c r="AP48" s="263"/>
      <c r="AQ48" s="263"/>
      <c r="AR48" s="263"/>
      <c r="AS48" s="263"/>
      <c r="AT48" s="709"/>
      <c r="AU48" s="263"/>
      <c r="AV48" s="263"/>
      <c r="AW48" s="263"/>
      <c r="AX48" s="263"/>
      <c r="AY48" s="263"/>
      <c r="AZ48" s="263"/>
      <c r="BA48" s="709"/>
      <c r="BB48" s="263"/>
      <c r="BC48" s="263"/>
      <c r="BD48" s="263"/>
      <c r="BE48" s="263"/>
      <c r="BF48" s="263"/>
      <c r="BG48" s="263"/>
      <c r="BH48" s="709"/>
      <c r="BI48" s="263"/>
      <c r="BJ48" s="263"/>
      <c r="BK48" s="263"/>
      <c r="BL48" s="263"/>
      <c r="BM48" s="263"/>
      <c r="BN48" s="263"/>
      <c r="BO48" s="709"/>
      <c r="BP48" s="263"/>
      <c r="BQ48" s="263"/>
      <c r="BR48" s="263"/>
      <c r="BS48" s="530">
        <f>SUM(AN48:BR48)-BT48</f>
        <v>0</v>
      </c>
      <c r="BT48" s="530">
        <f>SUMIF($AN$4:$BR$4,"CN",AN48:BR48)</f>
        <v>0</v>
      </c>
      <c r="BU48" s="530">
        <f>SUMIF($AN$4:$BR$4,"LT",AN48:BR48)</f>
        <v>0</v>
      </c>
      <c r="BV48" s="681"/>
      <c r="BW48" s="681">
        <f>COUNTIFS(AN48:BR48,"&gt;="&amp;$BW$3,$AN$4:$BR$4,"&lt;&gt;CN")</f>
        <v>0</v>
      </c>
      <c r="BX48" s="798">
        <f t="shared" si="30"/>
        <v>216</v>
      </c>
      <c r="BY48" s="801">
        <f t="shared" si="62"/>
        <v>108</v>
      </c>
      <c r="BZ48" s="801"/>
      <c r="CA48" s="801"/>
    </row>
    <row r="49" spans="1:77" ht="21" customHeight="1">
      <c r="A49" s="680">
        <f>'BANG LUONG 1'!A49</f>
        <v>43</v>
      </c>
      <c r="B49" s="263" t="str">
        <f>'BANG LUONG 1'!B49</f>
        <v>NV43</v>
      </c>
      <c r="C49" s="263" t="str">
        <f>'BANG LUONG 1'!C49</f>
        <v>Triệu Minh Tuấn</v>
      </c>
      <c r="D49" s="263" t="str">
        <f>'BANG LUONG 1'!D49</f>
        <v xml:space="preserve">Công nhân </v>
      </c>
      <c r="E49" s="943">
        <v>1</v>
      </c>
      <c r="F49" s="943">
        <v>1</v>
      </c>
      <c r="G49" s="943">
        <v>1</v>
      </c>
      <c r="H49" s="943">
        <v>1</v>
      </c>
      <c r="I49" s="943">
        <v>1</v>
      </c>
      <c r="J49" s="943">
        <v>1</v>
      </c>
      <c r="K49" s="944"/>
      <c r="L49" s="943">
        <v>1</v>
      </c>
      <c r="M49" s="943">
        <v>1</v>
      </c>
      <c r="N49" s="943">
        <v>1</v>
      </c>
      <c r="O49" s="943">
        <v>1</v>
      </c>
      <c r="P49" s="943">
        <v>1</v>
      </c>
      <c r="Q49" s="943">
        <v>1</v>
      </c>
      <c r="R49" s="944"/>
      <c r="S49" s="943">
        <v>1</v>
      </c>
      <c r="T49" s="943">
        <v>1</v>
      </c>
      <c r="U49" s="943">
        <v>1</v>
      </c>
      <c r="V49" s="943">
        <v>1</v>
      </c>
      <c r="W49" s="943">
        <v>1</v>
      </c>
      <c r="X49" s="943">
        <v>1</v>
      </c>
      <c r="Y49" s="944"/>
      <c r="Z49" s="943">
        <v>1</v>
      </c>
      <c r="AA49" s="943">
        <v>1</v>
      </c>
      <c r="AB49" s="943">
        <v>1</v>
      </c>
      <c r="AC49" s="943">
        <v>1</v>
      </c>
      <c r="AD49" s="943">
        <v>1</v>
      </c>
      <c r="AE49" s="943">
        <v>1</v>
      </c>
      <c r="AF49" s="944"/>
      <c r="AG49" s="943">
        <v>1</v>
      </c>
      <c r="AH49" s="943">
        <v>1</v>
      </c>
      <c r="AI49" s="943">
        <v>1</v>
      </c>
      <c r="AJ49" s="558">
        <f>SUM(E49:AI49)-AK49</f>
        <v>27</v>
      </c>
      <c r="AK49" s="558">
        <f>SUMIF($E$4:$AI$4,"LT",E49:AI49)</f>
        <v>0</v>
      </c>
      <c r="AL49" s="558">
        <f>COUNTIF(E49:AI49,"P")</f>
        <v>0</v>
      </c>
      <c r="AM49" s="558">
        <f>COUNTIF(E49:AI49,"LT")</f>
        <v>0</v>
      </c>
      <c r="AN49" s="263"/>
      <c r="AO49" s="263"/>
      <c r="AP49" s="263"/>
      <c r="AQ49" s="263"/>
      <c r="AR49" s="263"/>
      <c r="AS49" s="263"/>
      <c r="AT49" s="709"/>
      <c r="AU49" s="263"/>
      <c r="AV49" s="263"/>
      <c r="AW49" s="263"/>
      <c r="AX49" s="263"/>
      <c r="AY49" s="263"/>
      <c r="AZ49" s="263"/>
      <c r="BA49" s="709"/>
      <c r="BB49" s="263"/>
      <c r="BC49" s="263"/>
      <c r="BD49" s="263"/>
      <c r="BE49" s="263"/>
      <c r="BF49" s="263"/>
      <c r="BG49" s="263"/>
      <c r="BH49" s="709"/>
      <c r="BI49" s="263"/>
      <c r="BJ49" s="263"/>
      <c r="BK49" s="263"/>
      <c r="BL49" s="263"/>
      <c r="BM49" s="263"/>
      <c r="BN49" s="263"/>
      <c r="BO49" s="709"/>
      <c r="BP49" s="263"/>
      <c r="BQ49" s="263"/>
      <c r="BR49" s="263"/>
      <c r="BS49" s="530">
        <f>SUM(AN49:BR49)-BT49</f>
        <v>0</v>
      </c>
      <c r="BT49" s="530">
        <f>SUMIF($AN$4:$BR$4,"CN",AN49:BR49)</f>
        <v>0</v>
      </c>
      <c r="BU49" s="530">
        <f>SUMIF($AN$4:$BR$4,"LT",AN49:BR49)</f>
        <v>0</v>
      </c>
      <c r="BV49" s="681"/>
      <c r="BW49" s="681">
        <f>COUNTIFS(AN49:BR49,"&gt;="&amp;$BW$3,$AN$4:$BR$4,"&lt;&gt;CN")</f>
        <v>0</v>
      </c>
      <c r="BX49" s="798">
        <f t="shared" si="30"/>
        <v>216</v>
      </c>
      <c r="BY49" s="801">
        <f t="shared" si="62"/>
        <v>108</v>
      </c>
    </row>
    <row r="50" spans="1:77" ht="21" customHeight="1">
      <c r="A50" s="680">
        <f>'BANG LUONG 1'!A50</f>
        <v>44</v>
      </c>
      <c r="B50" s="263" t="str">
        <f>'BANG LUONG 1'!B50</f>
        <v>NV44</v>
      </c>
      <c r="C50" s="263" t="str">
        <f>'BANG LUONG 1'!C50</f>
        <v>Kim Em</v>
      </c>
      <c r="D50" s="263" t="str">
        <f>'BANG LUONG 1'!D50</f>
        <v xml:space="preserve">Công nhân </v>
      </c>
      <c r="E50" s="943">
        <v>1</v>
      </c>
      <c r="F50" s="943">
        <v>1</v>
      </c>
      <c r="G50" s="943">
        <v>1</v>
      </c>
      <c r="H50" s="943">
        <v>1</v>
      </c>
      <c r="I50" s="943">
        <v>1</v>
      </c>
      <c r="J50" s="943">
        <v>1</v>
      </c>
      <c r="K50" s="944"/>
      <c r="L50" s="943">
        <v>1</v>
      </c>
      <c r="M50" s="943">
        <v>1</v>
      </c>
      <c r="N50" s="943">
        <v>1</v>
      </c>
      <c r="O50" s="943">
        <v>1</v>
      </c>
      <c r="P50" s="943">
        <v>1</v>
      </c>
      <c r="Q50" s="943">
        <v>1</v>
      </c>
      <c r="R50" s="944"/>
      <c r="S50" s="943">
        <v>1</v>
      </c>
      <c r="T50" s="943">
        <v>1</v>
      </c>
      <c r="U50" s="943">
        <v>1</v>
      </c>
      <c r="V50" s="943">
        <v>1</v>
      </c>
      <c r="W50" s="943">
        <v>1</v>
      </c>
      <c r="X50" s="943">
        <v>1</v>
      </c>
      <c r="Y50" s="944"/>
      <c r="Z50" s="943">
        <v>1</v>
      </c>
      <c r="AA50" s="943">
        <v>1</v>
      </c>
      <c r="AB50" s="943">
        <v>1</v>
      </c>
      <c r="AC50" s="943">
        <v>1</v>
      </c>
      <c r="AD50" s="943">
        <v>1</v>
      </c>
      <c r="AE50" s="943">
        <v>1</v>
      </c>
      <c r="AF50" s="944"/>
      <c r="AG50" s="943">
        <v>1</v>
      </c>
      <c r="AH50" s="943">
        <v>1</v>
      </c>
      <c r="AI50" s="943">
        <v>1</v>
      </c>
      <c r="AJ50" s="558">
        <f>SUM(E50:AI50)-AK50</f>
        <v>27</v>
      </c>
      <c r="AK50" s="558">
        <f>SUMIF($E$4:$AI$4,"LT",E50:AI50)</f>
        <v>0</v>
      </c>
      <c r="AL50" s="558">
        <f>COUNTIF(E50:AI50,"P")</f>
        <v>0</v>
      </c>
      <c r="AM50" s="558">
        <f>COUNTIF(E50:AI50,"LT")</f>
        <v>0</v>
      </c>
      <c r="AN50" s="263"/>
      <c r="AO50" s="263"/>
      <c r="AP50" s="263"/>
      <c r="AQ50" s="263"/>
      <c r="AR50" s="263"/>
      <c r="AS50" s="263"/>
      <c r="AT50" s="709"/>
      <c r="AU50" s="263"/>
      <c r="AV50" s="263"/>
      <c r="AW50" s="263"/>
      <c r="AX50" s="263"/>
      <c r="AY50" s="263"/>
      <c r="AZ50" s="263"/>
      <c r="BA50" s="709"/>
      <c r="BB50" s="263"/>
      <c r="BC50" s="263"/>
      <c r="BD50" s="263"/>
      <c r="BE50" s="263"/>
      <c r="BF50" s="263"/>
      <c r="BG50" s="263"/>
      <c r="BH50" s="709"/>
      <c r="BI50" s="263"/>
      <c r="BJ50" s="263"/>
      <c r="BK50" s="263"/>
      <c r="BL50" s="263"/>
      <c r="BM50" s="263"/>
      <c r="BN50" s="263"/>
      <c r="BO50" s="709"/>
      <c r="BP50" s="263"/>
      <c r="BQ50" s="263"/>
      <c r="BR50" s="263"/>
      <c r="BS50" s="530">
        <f>SUM(AN50:BR50)-BT50</f>
        <v>0</v>
      </c>
      <c r="BT50" s="530">
        <f>SUMIF($AN$4:$BR$4,"CN",AN50:BR50)</f>
        <v>0</v>
      </c>
      <c r="BU50" s="530">
        <f>SUMIF($AN$4:$BR$4,"LT",AN50:BR50)</f>
        <v>0</v>
      </c>
      <c r="BV50" s="681"/>
      <c r="BW50" s="681">
        <f>COUNTIFS(AN50:BR50,"&gt;="&amp;$BW$3,$AN$4:$BR$4,"&lt;&gt;CN")</f>
        <v>0</v>
      </c>
      <c r="BX50" s="798">
        <f t="shared" si="30"/>
        <v>216</v>
      </c>
      <c r="BY50" s="801">
        <f t="shared" ref="BY50" si="63">+BX50/2</f>
        <v>108</v>
      </c>
    </row>
    <row r="51" spans="1:77" ht="20.25" customHeight="1">
      <c r="A51" s="933"/>
      <c r="B51" s="263" t="str">
        <f>'BANG LUONG 1'!B51</f>
        <v>NV48</v>
      </c>
      <c r="C51" s="263" t="str">
        <f>'BANG LUONG 1'!C51</f>
        <v>Danh Ngòi</v>
      </c>
      <c r="D51" s="263" t="str">
        <f>'BANG LUONG 1'!D51</f>
        <v>Công nhân</v>
      </c>
      <c r="E51" s="943">
        <v>1</v>
      </c>
      <c r="F51" s="943">
        <v>1</v>
      </c>
      <c r="G51" s="943">
        <v>1</v>
      </c>
      <c r="H51" s="943">
        <v>1</v>
      </c>
      <c r="I51" s="943">
        <v>1</v>
      </c>
      <c r="J51" s="943">
        <v>1</v>
      </c>
      <c r="K51" s="944"/>
      <c r="L51" s="943">
        <v>1</v>
      </c>
      <c r="M51" s="943">
        <v>1</v>
      </c>
      <c r="N51" s="943">
        <v>1</v>
      </c>
      <c r="O51" s="943">
        <v>1</v>
      </c>
      <c r="P51" s="943">
        <v>1</v>
      </c>
      <c r="Q51" s="943">
        <v>1</v>
      </c>
      <c r="R51" s="944"/>
      <c r="S51" s="943">
        <v>1</v>
      </c>
      <c r="T51" s="943">
        <v>1</v>
      </c>
      <c r="U51" s="943">
        <v>1</v>
      </c>
      <c r="V51" s="943">
        <v>1</v>
      </c>
      <c r="W51" s="943">
        <v>1</v>
      </c>
      <c r="X51" s="943">
        <v>1</v>
      </c>
      <c r="Y51" s="944"/>
      <c r="Z51" s="943">
        <v>1</v>
      </c>
      <c r="AA51" s="943">
        <v>1</v>
      </c>
      <c r="AB51" s="943">
        <v>1</v>
      </c>
      <c r="AC51" s="943">
        <v>1</v>
      </c>
      <c r="AD51" s="943">
        <v>1</v>
      </c>
      <c r="AE51" s="943">
        <v>1</v>
      </c>
      <c r="AF51" s="944"/>
      <c r="AG51" s="943">
        <v>1</v>
      </c>
      <c r="AH51" s="943">
        <v>1</v>
      </c>
      <c r="AI51" s="943">
        <v>1</v>
      </c>
      <c r="AJ51" s="558">
        <f>SUM(E51:AI51)-AK51</f>
        <v>27</v>
      </c>
      <c r="AK51" s="558">
        <f>SUMIF($E$4:$AI$4,"LT",E51:AI51)</f>
        <v>0</v>
      </c>
      <c r="AL51" s="558">
        <f>COUNTIF(E51:AI51,"P")</f>
        <v>0</v>
      </c>
      <c r="AM51" s="558">
        <f>COUNTIF(E51:AI51,"LT")</f>
        <v>0</v>
      </c>
      <c r="AN51" s="263"/>
      <c r="AO51" s="263"/>
      <c r="AP51" s="263"/>
      <c r="AQ51" s="263"/>
      <c r="AR51" s="263"/>
      <c r="AS51" s="263"/>
      <c r="AT51" s="709"/>
      <c r="AU51" s="263"/>
      <c r="AV51" s="263"/>
      <c r="AW51" s="263"/>
      <c r="AX51" s="263"/>
      <c r="AY51" s="263"/>
      <c r="AZ51" s="263"/>
      <c r="BA51" s="709"/>
      <c r="BB51" s="263"/>
      <c r="BC51" s="263"/>
      <c r="BD51" s="263"/>
      <c r="BE51" s="263"/>
      <c r="BF51" s="263"/>
      <c r="BG51" s="263"/>
      <c r="BH51" s="709"/>
      <c r="BI51" s="263"/>
      <c r="BJ51" s="263"/>
      <c r="BK51" s="263"/>
      <c r="BL51" s="263"/>
      <c r="BM51" s="263"/>
      <c r="BN51" s="263"/>
      <c r="BO51" s="709"/>
      <c r="BP51" s="263"/>
      <c r="BQ51" s="263"/>
      <c r="BR51" s="263"/>
      <c r="BS51" s="530">
        <f>SUM(AN51:BR51)-BT51</f>
        <v>0</v>
      </c>
      <c r="BT51" s="530">
        <f>SUMIF($AN$4:$BR$4,"CN",AN51:BR51)</f>
        <v>0</v>
      </c>
      <c r="BU51" s="530">
        <f>SUMIF($AN$4:$BR$4,"LT",AN51:BR51)</f>
        <v>0</v>
      </c>
      <c r="BV51" s="681"/>
      <c r="BW51" s="681">
        <f>COUNTIFS(AN51:BR51,"&gt;="&amp;$BW$3,$AN$4:$BR$4,"&lt;&gt;CN")</f>
        <v>0</v>
      </c>
      <c r="BX51" s="798">
        <f t="shared" ref="BX51" si="64">+AJ51*8+BS51+BT51+AK51*8</f>
        <v>216</v>
      </c>
      <c r="BY51" s="801">
        <f t="shared" ref="BY51" si="65">+BX51/2</f>
        <v>108</v>
      </c>
    </row>
    <row r="52" spans="1:77" ht="20.25" customHeight="1">
      <c r="A52" s="933"/>
      <c r="B52" s="263" t="str">
        <f>'BANG LUONG 1'!B52</f>
        <v>NV50</v>
      </c>
      <c r="C52" s="263" t="str">
        <f>'BANG LUONG 1'!C52</f>
        <v>Phùng Nhật Nam</v>
      </c>
      <c r="D52" s="263" t="str">
        <f>'BANG LUONG 1'!D52</f>
        <v>Công nhân</v>
      </c>
      <c r="E52" s="943">
        <v>1</v>
      </c>
      <c r="F52" s="943">
        <v>1</v>
      </c>
      <c r="G52" s="943">
        <v>1</v>
      </c>
      <c r="H52" s="943">
        <v>1</v>
      </c>
      <c r="I52" s="943">
        <v>1</v>
      </c>
      <c r="J52" s="943">
        <v>1</v>
      </c>
      <c r="K52" s="944"/>
      <c r="L52" s="943">
        <v>1</v>
      </c>
      <c r="M52" s="943">
        <v>1</v>
      </c>
      <c r="N52" s="943">
        <v>1</v>
      </c>
      <c r="O52" s="943">
        <v>1</v>
      </c>
      <c r="P52" s="943">
        <v>1</v>
      </c>
      <c r="Q52" s="943">
        <v>1</v>
      </c>
      <c r="R52" s="944"/>
      <c r="S52" s="943">
        <v>1</v>
      </c>
      <c r="T52" s="943">
        <v>1</v>
      </c>
      <c r="U52" s="943">
        <v>1</v>
      </c>
      <c r="V52" s="943">
        <v>1</v>
      </c>
      <c r="W52" s="943">
        <v>1</v>
      </c>
      <c r="X52" s="943">
        <v>1</v>
      </c>
      <c r="Y52" s="944"/>
      <c r="Z52" s="943">
        <v>1</v>
      </c>
      <c r="AA52" s="943">
        <v>1</v>
      </c>
      <c r="AB52" s="943">
        <v>1</v>
      </c>
      <c r="AC52" s="943">
        <v>1</v>
      </c>
      <c r="AD52" s="943">
        <v>1</v>
      </c>
      <c r="AE52" s="943">
        <v>1</v>
      </c>
      <c r="AF52" s="944"/>
      <c r="AG52" s="943">
        <v>1</v>
      </c>
      <c r="AH52" s="943">
        <v>1</v>
      </c>
      <c r="AI52" s="943">
        <v>1</v>
      </c>
      <c r="AJ52" s="558">
        <f>SUM(E52:AI52)-AK52</f>
        <v>27</v>
      </c>
      <c r="AK52" s="558">
        <f>SUMIF($E$4:$AI$4,"LT",E52:AI52)</f>
        <v>0</v>
      </c>
      <c r="AL52" s="558">
        <f>COUNTIF(E52:AI52,"P")</f>
        <v>0</v>
      </c>
      <c r="AM52" s="558">
        <f>COUNTIF(E52:AI52,"LT")</f>
        <v>0</v>
      </c>
      <c r="AN52" s="263"/>
      <c r="AO52" s="263"/>
      <c r="AP52" s="263"/>
      <c r="AQ52" s="263"/>
      <c r="AR52" s="263"/>
      <c r="AS52" s="263"/>
      <c r="AT52" s="709"/>
      <c r="AU52" s="263"/>
      <c r="AV52" s="263"/>
      <c r="AW52" s="263"/>
      <c r="AX52" s="263"/>
      <c r="AY52" s="263"/>
      <c r="AZ52" s="263"/>
      <c r="BA52" s="709"/>
      <c r="BB52" s="263"/>
      <c r="BC52" s="263"/>
      <c r="BD52" s="263"/>
      <c r="BE52" s="263"/>
      <c r="BF52" s="263"/>
      <c r="BG52" s="263"/>
      <c r="BH52" s="709"/>
      <c r="BI52" s="263"/>
      <c r="BJ52" s="263"/>
      <c r="BK52" s="263"/>
      <c r="BL52" s="263"/>
      <c r="BM52" s="263"/>
      <c r="BN52" s="263"/>
      <c r="BO52" s="709"/>
      <c r="BP52" s="263"/>
      <c r="BQ52" s="263"/>
      <c r="BR52" s="263"/>
      <c r="BS52" s="530">
        <f>SUM(AN52:BR52)-BT52</f>
        <v>0</v>
      </c>
      <c r="BT52" s="530">
        <f>SUMIF($AN$4:$BR$4,"CN",AN52:BR52)</f>
        <v>0</v>
      </c>
      <c r="BU52" s="530">
        <f>SUMIF($AN$4:$BR$4,"LT",AN52:BR52)</f>
        <v>0</v>
      </c>
      <c r="BV52" s="681"/>
      <c r="BW52" s="681">
        <f>COUNTIFS(AN52:BR52,"&gt;="&amp;$BW$3,$AN$4:$BR$4,"&lt;&gt;CN")</f>
        <v>0</v>
      </c>
      <c r="BX52" s="798">
        <f t="shared" ref="BX52" si="66">+AJ52*8+BS52+BT52+AK52*8</f>
        <v>216</v>
      </c>
      <c r="BY52" s="801">
        <f t="shared" ref="BY52" si="67">+BX52/2</f>
        <v>108</v>
      </c>
    </row>
    <row r="53" spans="1:77" s="801" customFormat="1" ht="20.25" customHeight="1">
      <c r="B53" s="881"/>
      <c r="C53" s="881"/>
      <c r="D53" s="881"/>
      <c r="E53" s="881"/>
      <c r="F53" s="882"/>
      <c r="G53" s="882"/>
      <c r="H53" s="882"/>
      <c r="I53" s="882"/>
      <c r="J53" s="882"/>
      <c r="K53" s="882"/>
      <c r="L53" s="881"/>
      <c r="M53" s="882"/>
      <c r="N53" s="882"/>
      <c r="O53" s="882"/>
      <c r="P53" s="882"/>
      <c r="Q53" s="882"/>
      <c r="R53" s="882"/>
      <c r="S53" s="881"/>
      <c r="T53" s="882"/>
      <c r="U53" s="882"/>
      <c r="V53" s="882"/>
      <c r="W53" s="882"/>
      <c r="X53" s="882"/>
      <c r="Y53" s="882"/>
      <c r="Z53" s="881"/>
      <c r="AA53" s="882"/>
      <c r="AB53" s="882"/>
      <c r="AC53" s="882"/>
      <c r="AD53" s="882"/>
      <c r="AE53" s="882"/>
      <c r="AF53" s="882"/>
      <c r="AG53" s="881"/>
      <c r="AH53" s="882"/>
      <c r="AI53" s="882"/>
      <c r="AJ53" s="883"/>
      <c r="AK53" s="883"/>
      <c r="AL53" s="883"/>
      <c r="AM53" s="883"/>
      <c r="AN53" s="881"/>
      <c r="AO53" s="881"/>
      <c r="AP53" s="881"/>
      <c r="AQ53" s="881"/>
      <c r="AR53" s="881"/>
      <c r="AS53" s="881"/>
      <c r="AT53" s="882"/>
      <c r="AU53" s="881"/>
      <c r="AV53" s="881"/>
      <c r="AW53" s="881"/>
      <c r="AX53" s="881"/>
      <c r="AY53" s="881"/>
      <c r="AZ53" s="881"/>
      <c r="BA53" s="882"/>
      <c r="BB53" s="881"/>
      <c r="BC53" s="881"/>
      <c r="BD53" s="881"/>
      <c r="BE53" s="881"/>
      <c r="BF53" s="881"/>
      <c r="BG53" s="881"/>
      <c r="BH53" s="882"/>
      <c r="BI53" s="881"/>
      <c r="BJ53" s="881"/>
      <c r="BK53" s="881"/>
      <c r="BL53" s="881"/>
      <c r="BM53" s="881"/>
      <c r="BN53" s="881"/>
      <c r="BO53" s="882"/>
      <c r="BP53" s="881"/>
      <c r="BQ53" s="881"/>
      <c r="BR53" s="881"/>
      <c r="BS53" s="884"/>
      <c r="BT53" s="884"/>
      <c r="BU53" s="884"/>
      <c r="BV53" s="798"/>
      <c r="BW53" s="798"/>
      <c r="BX53" s="798"/>
    </row>
    <row r="54" spans="1:77" ht="15.6">
      <c r="E54" s="1020" t="s">
        <v>787</v>
      </c>
      <c r="F54" s="1020"/>
      <c r="G54" s="1020"/>
      <c r="H54" s="1020"/>
      <c r="I54" s="1020"/>
      <c r="AC54" s="1020" t="s">
        <v>564</v>
      </c>
      <c r="AD54" s="1020"/>
      <c r="AE54" s="1020"/>
      <c r="AF54" s="1020"/>
      <c r="AG54" s="1020"/>
      <c r="AH54" s="1020"/>
      <c r="AI54" s="636"/>
      <c r="AP54" s="1020" t="s">
        <v>787</v>
      </c>
      <c r="AQ54" s="1020"/>
      <c r="AR54" s="1020"/>
      <c r="AS54" s="1020"/>
      <c r="AT54" s="1020"/>
      <c r="BN54" s="1020" t="s">
        <v>564</v>
      </c>
      <c r="BO54" s="1020"/>
      <c r="BP54" s="1020"/>
      <c r="BQ54" s="1020"/>
      <c r="BR54" s="1020"/>
      <c r="BS54" s="1020"/>
      <c r="BT54" s="1020"/>
      <c r="BU54" s="717"/>
    </row>
    <row r="55" spans="1:77" ht="61.5" customHeight="1">
      <c r="F55" s="283"/>
      <c r="G55" s="197"/>
      <c r="H55" s="197"/>
      <c r="AA55" s="197"/>
      <c r="AB55" s="197"/>
      <c r="AC55" s="1020"/>
      <c r="AD55" s="1020"/>
      <c r="AE55" s="1020"/>
      <c r="AF55" s="1020"/>
      <c r="AG55" s="1020"/>
      <c r="AH55" s="1020"/>
      <c r="AI55" s="636"/>
      <c r="AQ55" s="197"/>
      <c r="AR55" s="197"/>
      <c r="AS55" s="197"/>
      <c r="BL55" s="197"/>
      <c r="BM55" s="197"/>
      <c r="BN55" s="1020"/>
      <c r="BO55" s="1020"/>
      <c r="BP55" s="1020"/>
      <c r="BQ55" s="1020"/>
      <c r="BR55" s="1020"/>
      <c r="BS55" s="1020"/>
      <c r="BT55" s="1020"/>
      <c r="BU55" s="717"/>
    </row>
    <row r="56" spans="1:77" ht="15.6">
      <c r="F56" s="283"/>
      <c r="G56" s="197"/>
      <c r="H56" s="197"/>
      <c r="AA56" s="197"/>
      <c r="AB56" s="197"/>
      <c r="AC56" s="283"/>
      <c r="AD56" s="283"/>
      <c r="AE56" s="197"/>
      <c r="AF56" s="197"/>
      <c r="AG56" s="197"/>
      <c r="AH56" s="197"/>
      <c r="AI56" s="197"/>
      <c r="AQ56" s="197"/>
      <c r="AR56" s="197"/>
      <c r="AS56" s="197"/>
      <c r="BL56" s="197"/>
      <c r="BM56" s="197"/>
      <c r="BN56" s="197"/>
      <c r="BO56" s="197"/>
      <c r="BP56" s="197"/>
      <c r="BQ56" s="430"/>
      <c r="BR56" s="197"/>
      <c r="BS56" s="197"/>
      <c r="BT56" s="197"/>
      <c r="BU56" s="197"/>
    </row>
    <row r="57" spans="1:77" ht="15.6">
      <c r="E57" s="1020"/>
      <c r="F57" s="1020"/>
      <c r="G57" s="1020"/>
      <c r="H57" s="1020"/>
      <c r="I57" s="1020"/>
      <c r="AA57" s="197"/>
      <c r="AB57" s="197"/>
      <c r="AC57" s="1020" t="s">
        <v>766</v>
      </c>
      <c r="AD57" s="1020"/>
      <c r="AE57" s="1020"/>
      <c r="AF57" s="1020"/>
      <c r="AG57" s="1020"/>
      <c r="AH57" s="1020"/>
      <c r="AI57" s="636"/>
      <c r="AP57" s="1020"/>
      <c r="AQ57" s="1020"/>
      <c r="AR57" s="1020"/>
      <c r="AS57" s="1020"/>
      <c r="AT57" s="1020"/>
      <c r="BL57" s="197"/>
      <c r="BM57" s="197"/>
      <c r="BN57" s="1020" t="s">
        <v>766</v>
      </c>
      <c r="BO57" s="1020"/>
      <c r="BP57" s="1020"/>
      <c r="BQ57" s="1020"/>
      <c r="BR57" s="1020"/>
      <c r="BS57" s="1020"/>
      <c r="BT57" s="1020"/>
      <c r="BU57" s="717"/>
    </row>
    <row r="58" spans="1:77" ht="15.6">
      <c r="Z58" s="1020"/>
      <c r="AA58" s="1020"/>
      <c r="AB58" s="1020"/>
      <c r="AC58" s="1020"/>
      <c r="AD58" s="1020"/>
      <c r="AE58" s="1020"/>
      <c r="AF58" s="1020"/>
      <c r="AG58" s="197"/>
      <c r="AH58" s="197"/>
      <c r="AI58" s="197"/>
      <c r="BL58" s="1020"/>
      <c r="BM58" s="1020"/>
      <c r="BN58" s="1020"/>
      <c r="BO58" s="1020"/>
      <c r="BP58" s="1020"/>
      <c r="BQ58" s="1020"/>
      <c r="BR58" s="1020"/>
      <c r="BS58" s="197"/>
      <c r="BT58" s="197"/>
      <c r="BU58" s="197"/>
    </row>
    <row r="59" spans="1:77" ht="15.6">
      <c r="Z59" s="197"/>
      <c r="AA59" s="197"/>
      <c r="AB59" s="197"/>
      <c r="AC59" s="283"/>
      <c r="AD59" s="283"/>
      <c r="AE59" s="197"/>
      <c r="AF59" s="197"/>
      <c r="AG59" s="197"/>
      <c r="AH59" s="197"/>
      <c r="AI59" s="197"/>
      <c r="BL59" s="197"/>
      <c r="BM59" s="197"/>
      <c r="BN59" s="197"/>
      <c r="BO59" s="197"/>
      <c r="BP59" s="197"/>
      <c r="BQ59" s="430"/>
      <c r="BR59" s="197"/>
      <c r="BS59" s="197"/>
      <c r="BT59" s="197"/>
      <c r="BU59" s="197"/>
    </row>
    <row r="60" spans="1:77" ht="15.6">
      <c r="Z60" s="197"/>
      <c r="AA60" s="197"/>
      <c r="AB60" s="1020"/>
      <c r="AC60" s="1020"/>
      <c r="AD60" s="1020"/>
      <c r="AE60" s="1020"/>
      <c r="AF60" s="1020"/>
      <c r="AG60" s="1020"/>
      <c r="AH60" s="1020"/>
      <c r="AI60" s="636"/>
      <c r="BL60" s="197"/>
      <c r="BM60" s="197"/>
      <c r="BN60" s="1020"/>
      <c r="BO60" s="1020"/>
      <c r="BP60" s="1020"/>
      <c r="BQ60" s="1020"/>
      <c r="BR60" s="1020"/>
      <c r="BS60" s="1020"/>
      <c r="BT60" s="1020"/>
      <c r="BU60" s="717"/>
    </row>
  </sheetData>
  <mergeCells count="22">
    <mergeCell ref="BY4:CQ4"/>
    <mergeCell ref="E57:I57"/>
    <mergeCell ref="AC57:AH57"/>
    <mergeCell ref="E3:AH3"/>
    <mergeCell ref="E54:I54"/>
    <mergeCell ref="BL58:BR58"/>
    <mergeCell ref="BN60:BT60"/>
    <mergeCell ref="Z58:AF58"/>
    <mergeCell ref="AB60:AH60"/>
    <mergeCell ref="BN57:BT57"/>
    <mergeCell ref="AP57:AT57"/>
    <mergeCell ref="A1:AM1"/>
    <mergeCell ref="AN1:BT1"/>
    <mergeCell ref="BN55:BT55"/>
    <mergeCell ref="AJ3:AK3"/>
    <mergeCell ref="AL3:AM3"/>
    <mergeCell ref="AN3:BR3"/>
    <mergeCell ref="BN54:BT54"/>
    <mergeCell ref="AC54:AH54"/>
    <mergeCell ref="AC55:AH55"/>
    <mergeCell ref="AP54:AT54"/>
    <mergeCell ref="BS3:BU3"/>
  </mergeCells>
  <pageMargins left="0" right="0" top="1" bottom="0" header="0" footer="0"/>
  <pageSetup paperSize="9" scale="64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rgb="FFFF0000"/>
    <pageSetUpPr fitToPage="1"/>
  </sheetPr>
  <dimension ref="A1:XCP64"/>
  <sheetViews>
    <sheetView zoomScale="70" zoomScaleNormal="70" workbookViewId="0">
      <pane xSplit="4" ySplit="4" topLeftCell="AF5" activePane="bottomRight" state="frozen"/>
      <selection pane="topRight" activeCell="E1" sqref="E1"/>
      <selection pane="bottomLeft" activeCell="A6" sqref="A6"/>
      <selection pane="bottomRight" activeCell="AB6" sqref="AB6"/>
    </sheetView>
  </sheetViews>
  <sheetFormatPr defaultColWidth="9.109375" defaultRowHeight="13.8"/>
  <cols>
    <col min="1" max="1" width="5.109375" style="218" customWidth="1"/>
    <col min="2" max="2" width="8.109375" style="218" customWidth="1"/>
    <col min="3" max="3" width="19.88671875" style="218" customWidth="1"/>
    <col min="4" max="4" width="11.6640625" style="218" customWidth="1"/>
    <col min="5" max="5" width="13.44140625" style="218" customWidth="1"/>
    <col min="6" max="6" width="8.5546875" style="218" customWidth="1"/>
    <col min="7" max="7" width="8.109375" style="384" customWidth="1"/>
    <col min="8" max="8" width="11.44140625" style="218" customWidth="1"/>
    <col min="9" max="9" width="8.33203125" style="219" customWidth="1"/>
    <col min="10" max="10" width="8.109375" style="219" customWidth="1"/>
    <col min="11" max="11" width="15.109375" style="275" hidden="1" customWidth="1"/>
    <col min="12" max="12" width="11.5546875" style="239" customWidth="1"/>
    <col min="13" max="13" width="6.5546875" style="221" customWidth="1"/>
    <col min="14" max="14" width="11.44140625" style="957" customWidth="1"/>
    <col min="15" max="15" width="7.44140625" style="220" customWidth="1"/>
    <col min="16" max="16" width="11.33203125" style="220" customWidth="1"/>
    <col min="17" max="17" width="7.44140625" style="220" customWidth="1"/>
    <col min="18" max="18" width="7.109375" style="220" customWidth="1"/>
    <col min="19" max="19" width="8.109375" style="220" customWidth="1"/>
    <col min="20" max="20" width="15.33203125" style="957" customWidth="1"/>
    <col min="21" max="21" width="14.44140625" style="239" customWidth="1"/>
    <col min="22" max="22" width="15.109375" style="270" hidden="1" customWidth="1"/>
    <col min="23" max="23" width="13.44140625" style="966" customWidth="1"/>
    <col min="24" max="24" width="13.33203125" style="957" customWidth="1"/>
    <col min="25" max="25" width="11.33203125" style="220" customWidth="1"/>
    <col min="26" max="26" width="15.33203125" style="239" customWidth="1"/>
    <col min="27" max="27" width="14" style="239" customWidth="1"/>
    <col min="28" max="28" width="17" style="239" customWidth="1"/>
    <col min="29" max="29" width="13.6640625" style="220" customWidth="1"/>
    <col min="30" max="30" width="13.109375" style="220" customWidth="1"/>
    <col min="31" max="31" width="15" style="220" bestFit="1" customWidth="1"/>
    <col min="32" max="32" width="14.33203125" style="220" bestFit="1" customWidth="1"/>
    <col min="33" max="33" width="12.33203125" style="239" customWidth="1"/>
    <col min="34" max="34" width="17.6640625" style="239" customWidth="1"/>
    <col min="35" max="35" width="13" style="220" hidden="1" customWidth="1"/>
    <col min="36" max="36" width="16.6640625" style="220" customWidth="1"/>
    <col min="37" max="37" width="17" style="218" hidden="1" customWidth="1"/>
    <col min="38" max="38" width="29.88671875" style="218" bestFit="1" customWidth="1"/>
    <col min="39" max="39" width="15.88671875" style="218" bestFit="1" customWidth="1"/>
    <col min="40" max="40" width="9.109375" style="218"/>
    <col min="41" max="41" width="19.5546875" style="218" customWidth="1"/>
    <col min="42" max="16384" width="9.109375" style="218"/>
  </cols>
  <sheetData>
    <row r="1" spans="1:131 2330:2330">
      <c r="A1" s="281" t="s">
        <v>536</v>
      </c>
      <c r="B1" s="281"/>
      <c r="C1" s="281"/>
      <c r="D1" s="281"/>
      <c r="E1" s="281"/>
      <c r="F1" s="303"/>
      <c r="G1" s="469"/>
      <c r="H1" s="281"/>
      <c r="I1" s="470"/>
      <c r="J1" s="471"/>
      <c r="K1" s="533"/>
      <c r="L1" s="472"/>
      <c r="M1" s="473"/>
      <c r="N1" s="945">
        <v>26</v>
      </c>
      <c r="O1" s="469"/>
      <c r="P1" s="469"/>
      <c r="Q1" s="469"/>
      <c r="R1" s="469"/>
      <c r="S1" s="469"/>
      <c r="T1" s="958"/>
      <c r="U1" s="474"/>
      <c r="V1" s="475"/>
      <c r="W1" s="963"/>
      <c r="X1" s="958"/>
      <c r="Y1" s="469"/>
      <c r="Z1" s="474"/>
      <c r="AA1" s="474"/>
      <c r="AB1" s="474"/>
      <c r="AC1" s="469"/>
      <c r="AD1" s="469"/>
      <c r="AE1" s="469"/>
      <c r="AF1" s="469"/>
      <c r="AG1" s="474"/>
      <c r="AH1" s="474"/>
      <c r="AI1" s="469"/>
      <c r="AJ1" s="469"/>
    </row>
    <row r="2" spans="1:131 2330:2330" ht="18" customHeight="1">
      <c r="A2" s="281" t="s">
        <v>537</v>
      </c>
      <c r="B2" s="281"/>
      <c r="C2" s="281"/>
      <c r="D2" s="281"/>
      <c r="E2" s="469"/>
      <c r="F2" s="1034" t="s">
        <v>916</v>
      </c>
      <c r="G2" s="1034"/>
      <c r="H2" s="1035"/>
      <c r="I2" s="1034"/>
      <c r="J2" s="1034"/>
      <c r="K2" s="1035"/>
      <c r="L2" s="1036"/>
      <c r="M2" s="1034"/>
      <c r="N2" s="1034"/>
      <c r="P2" s="726">
        <v>43702</v>
      </c>
      <c r="Q2" s="469"/>
      <c r="R2" s="469"/>
      <c r="S2" s="469"/>
      <c r="T2" s="958"/>
      <c r="U2" s="474"/>
      <c r="V2" s="475"/>
      <c r="W2" s="963"/>
      <c r="X2" s="958"/>
      <c r="Y2" s="469"/>
      <c r="Z2" s="474"/>
      <c r="AA2" s="474" t="s">
        <v>556</v>
      </c>
      <c r="AB2" s="474"/>
      <c r="AC2" s="478">
        <v>0.105</v>
      </c>
      <c r="AD2" s="478"/>
      <c r="AE2" s="478"/>
      <c r="AF2" s="469"/>
      <c r="AG2" s="474"/>
      <c r="AH2" s="474"/>
      <c r="AI2" s="469"/>
      <c r="AJ2" s="469"/>
    </row>
    <row r="3" spans="1:131 2330:2330" ht="18.600000000000001" customHeight="1">
      <c r="A3" s="281"/>
      <c r="B3" s="281"/>
      <c r="C3" s="281"/>
      <c r="D3" s="281"/>
      <c r="E3" s="281"/>
      <c r="F3" s="281"/>
      <c r="G3" s="479"/>
      <c r="H3" s="480">
        <f>3500000*107%</f>
        <v>3745000</v>
      </c>
      <c r="I3" s="470"/>
      <c r="J3" s="470"/>
      <c r="K3" s="533"/>
      <c r="L3" s="475"/>
      <c r="M3" s="481">
        <v>26</v>
      </c>
      <c r="N3" s="946"/>
      <c r="O3" s="469"/>
      <c r="P3" s="469"/>
      <c r="Q3" s="469"/>
      <c r="R3" s="469"/>
      <c r="S3" s="469"/>
      <c r="T3" s="958"/>
      <c r="U3" s="474"/>
      <c r="V3" s="482">
        <v>1</v>
      </c>
      <c r="W3" s="963"/>
      <c r="X3" s="946">
        <v>300000</v>
      </c>
      <c r="Y3" s="469"/>
      <c r="Z3" s="475"/>
      <c r="AA3" s="474"/>
      <c r="AB3" s="474"/>
      <c r="AC3" s="469"/>
      <c r="AD3" s="469"/>
      <c r="AE3" s="469"/>
      <c r="AF3" s="469"/>
      <c r="AG3" s="474"/>
      <c r="AH3" s="474"/>
      <c r="AI3" s="469"/>
      <c r="AJ3" s="469"/>
    </row>
    <row r="4" spans="1:131 2330:2330" s="228" customFormat="1" ht="103.5" customHeight="1">
      <c r="A4" s="432" t="s">
        <v>0</v>
      </c>
      <c r="B4" s="432" t="s">
        <v>1</v>
      </c>
      <c r="C4" s="432" t="s">
        <v>2</v>
      </c>
      <c r="D4" s="432" t="s">
        <v>3</v>
      </c>
      <c r="E4" s="432" t="s">
        <v>376</v>
      </c>
      <c r="F4" s="432" t="s">
        <v>678</v>
      </c>
      <c r="G4" s="433" t="s">
        <v>679</v>
      </c>
      <c r="H4" s="432" t="s">
        <v>229</v>
      </c>
      <c r="I4" s="432" t="s">
        <v>217</v>
      </c>
      <c r="J4" s="432" t="s">
        <v>230</v>
      </c>
      <c r="K4" s="434" t="s">
        <v>672</v>
      </c>
      <c r="L4" s="435" t="s">
        <v>673</v>
      </c>
      <c r="M4" s="436" t="s">
        <v>354</v>
      </c>
      <c r="N4" s="947" t="s">
        <v>534</v>
      </c>
      <c r="O4" s="435" t="s">
        <v>592</v>
      </c>
      <c r="P4" s="435" t="s">
        <v>357</v>
      </c>
      <c r="Q4" s="435" t="s">
        <v>387</v>
      </c>
      <c r="R4" s="435" t="s">
        <v>593</v>
      </c>
      <c r="S4" s="435" t="s">
        <v>388</v>
      </c>
      <c r="T4" s="947" t="s">
        <v>533</v>
      </c>
      <c r="U4" s="435" t="s">
        <v>535</v>
      </c>
      <c r="V4" s="434" t="s">
        <v>370</v>
      </c>
      <c r="W4" s="947" t="s">
        <v>680</v>
      </c>
      <c r="X4" s="947" t="s">
        <v>371</v>
      </c>
      <c r="Y4" s="435" t="s">
        <v>559</v>
      </c>
      <c r="Z4" s="435" t="s">
        <v>695</v>
      </c>
      <c r="AA4" s="435" t="s">
        <v>681</v>
      </c>
      <c r="AB4" s="435" t="s">
        <v>545</v>
      </c>
      <c r="AC4" s="435" t="s">
        <v>544</v>
      </c>
      <c r="AD4" s="435" t="s">
        <v>696</v>
      </c>
      <c r="AE4" s="435" t="s">
        <v>836</v>
      </c>
      <c r="AF4" s="435" t="s">
        <v>546</v>
      </c>
      <c r="AG4" s="435" t="s">
        <v>712</v>
      </c>
      <c r="AH4" s="435" t="s">
        <v>711</v>
      </c>
      <c r="AI4" s="434" t="s">
        <v>900</v>
      </c>
      <c r="AJ4" s="435" t="s">
        <v>699</v>
      </c>
      <c r="AK4" s="435" t="s">
        <v>699</v>
      </c>
    </row>
    <row r="5" spans="1:131 2330:2330" ht="21" customHeight="1">
      <c r="A5" s="425" t="s">
        <v>14</v>
      </c>
      <c r="B5" s="425"/>
      <c r="C5" s="425" t="s">
        <v>735</v>
      </c>
      <c r="D5" s="425"/>
      <c r="E5" s="425"/>
      <c r="F5" s="425"/>
      <c r="G5" s="483"/>
      <c r="H5" s="484"/>
      <c r="I5" s="485"/>
      <c r="J5" s="485"/>
      <c r="K5" s="485"/>
      <c r="L5" s="485"/>
      <c r="M5" s="486"/>
      <c r="N5" s="948"/>
      <c r="O5" s="487"/>
      <c r="P5" s="487"/>
      <c r="Q5" s="487"/>
      <c r="R5" s="487"/>
      <c r="S5" s="487"/>
      <c r="T5" s="948"/>
      <c r="U5" s="487"/>
      <c r="V5" s="487"/>
      <c r="W5" s="948"/>
      <c r="X5" s="948"/>
      <c r="Y5" s="487"/>
      <c r="Z5" s="487"/>
      <c r="AA5" s="487">
        <f>SUM(AA6:AA17)</f>
        <v>18196137.307692304</v>
      </c>
      <c r="AB5" s="487">
        <f t="shared" ref="AB5:AJ5" si="0">SUM(AB6:AB17)</f>
        <v>32000000</v>
      </c>
      <c r="AC5" s="487">
        <f t="shared" si="0"/>
        <v>4586145</v>
      </c>
      <c r="AD5" s="487">
        <f t="shared" si="0"/>
        <v>41716000</v>
      </c>
      <c r="AE5" s="487">
        <f t="shared" si="0"/>
        <v>0</v>
      </c>
      <c r="AF5" s="487">
        <f t="shared" si="0"/>
        <v>-18390007.692307696</v>
      </c>
      <c r="AG5" s="487">
        <f t="shared" si="0"/>
        <v>0</v>
      </c>
      <c r="AH5" s="487">
        <f t="shared" si="0"/>
        <v>0</v>
      </c>
      <c r="AI5" s="487">
        <f t="shared" si="0"/>
        <v>0</v>
      </c>
      <c r="AJ5" s="487">
        <f t="shared" si="0"/>
        <v>-18391000</v>
      </c>
      <c r="AK5" s="487">
        <f t="shared" ref="AK5" si="1">SUM(AK6:AK15)</f>
        <v>-11893000</v>
      </c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CKP5" s="520"/>
    </row>
    <row r="6" spans="1:131 2330:2330" s="786" customFormat="1" ht="27" customHeight="1">
      <c r="A6" s="655">
        <v>1</v>
      </c>
      <c r="B6" s="655" t="s">
        <v>118</v>
      </c>
      <c r="C6" s="655" t="s">
        <v>70</v>
      </c>
      <c r="D6" s="655" t="s">
        <v>823</v>
      </c>
      <c r="E6" s="656">
        <v>38838</v>
      </c>
      <c r="F6" s="657">
        <f t="shared" ref="F6:F13" si="2">IF(IF(E6="",0,ROUND(($P$2-E6)/30,0))&lt;0,0,IF(E6="",0,ROUND(($P$2-E6)/30,0)))</f>
        <v>162</v>
      </c>
      <c r="G6" s="658">
        <f>IF(VLOOKUP(F6,'he so'!C:D,2,0)=0,0,VLOOKUP(F6,'he so'!C:D,2,0))</f>
        <v>0.12999999999999998</v>
      </c>
      <c r="H6" s="659">
        <f t="shared" ref="H6:H52" si="3">$H$3</f>
        <v>3745000</v>
      </c>
      <c r="I6" s="660" t="s">
        <v>659</v>
      </c>
      <c r="J6" s="660">
        <v>2</v>
      </c>
      <c r="K6" s="661"/>
      <c r="L6" s="659">
        <f>VLOOKUP(I6,'thang luong moi'!B:I,'BANG LUONG 1'!J6+1,0)</f>
        <v>4895250</v>
      </c>
      <c r="M6" s="662">
        <f>VLOOKUP(C6,CC!$C$5:$AJ$67,34,0)</f>
        <v>27</v>
      </c>
      <c r="N6" s="949">
        <f t="shared" ref="N6:N13" si="4">L6/$N$1*M6</f>
        <v>5083528.846153846</v>
      </c>
      <c r="O6" s="659">
        <f>VLOOKUP(C6,CC!$C$5:$AM$67,36,0)</f>
        <v>0</v>
      </c>
      <c r="P6" s="659">
        <f>VLOOKUP(C6,CC!$C$5:$BS$67,69,0)</f>
        <v>0</v>
      </c>
      <c r="Q6" s="659">
        <f>VLOOKUP(C6,CC!$C$5:$BT$67,70,0)</f>
        <v>0</v>
      </c>
      <c r="R6" s="659">
        <f>VLOOKUP(C6,CC!$C$5:$AM$67,37,0)</f>
        <v>0</v>
      </c>
      <c r="S6" s="659">
        <f>VLOOKUP(C6,CC!$C$5:$AM$67,35,0)</f>
        <v>0</v>
      </c>
      <c r="T6" s="959">
        <f>((L6+Y6)/N1*M6)+(O6*(L6/N1))+((P6/8)*1.5*(L6/N1))+((Q6/8)*2*(L6+Y6)/N1)+(S6*3*(L6+Y6)/N1+(L6/N1)*R6)</f>
        <v>10384615.384615384</v>
      </c>
      <c r="U6" s="659"/>
      <c r="V6" s="659">
        <f t="shared" ref="V6:V13" si="5">+L6*G6</f>
        <v>636382.49999999988</v>
      </c>
      <c r="W6" s="949">
        <f t="shared" ref="W6:W13" si="6">(L6)*G6</f>
        <v>636382.49999999988</v>
      </c>
      <c r="X6" s="949">
        <f>(100%-VLOOKUP(C6,'chuyên cần'!$C$7:$AP$52,40,FALSE))*$X$3</f>
        <v>300000</v>
      </c>
      <c r="Y6" s="659">
        <f>10000000-L6</f>
        <v>5104750</v>
      </c>
      <c r="Z6" s="659">
        <f t="shared" ref="Z6:Z13" si="7">SUM(W6:Y6)</f>
        <v>6041132.5</v>
      </c>
      <c r="AA6" s="663">
        <f>T6+W6+X6</f>
        <v>11320997.884615384</v>
      </c>
      <c r="AB6" s="663">
        <f>VLOOKUP(C6,'ung luong'!C71:F109,4,0)</f>
        <v>4000000</v>
      </c>
      <c r="AC6" s="663">
        <f t="shared" ref="AC6:AC13" si="8">AD6*$AC$2</f>
        <v>535500</v>
      </c>
      <c r="AD6" s="727">
        <v>5100000</v>
      </c>
      <c r="AE6" s="663"/>
      <c r="AF6" s="663">
        <f t="shared" ref="AF6:AF13" si="9">AA6-AB6-AC6</f>
        <v>6785497.884615384</v>
      </c>
      <c r="AG6" s="663">
        <f>VLOOKUP(C6,CC!$C$5:$BV$50,72,0)*22000</f>
        <v>0</v>
      </c>
      <c r="AH6" s="663">
        <f>VLOOKUP(C6,CC!$C$5:$BW$50,73,0)*22000</f>
        <v>0</v>
      </c>
      <c r="AI6" s="663"/>
      <c r="AJ6" s="663">
        <f>ROUND(AF6,-3)+AI6+AG6+AH6+AE6</f>
        <v>6785000</v>
      </c>
      <c r="AK6" s="663">
        <f>ROUND(AF6,-3)+AE6+AH6</f>
        <v>6785000</v>
      </c>
      <c r="AL6" s="785">
        <f>16+19+75</f>
        <v>110</v>
      </c>
      <c r="AM6" s="785"/>
      <c r="AN6" s="785"/>
      <c r="AO6" s="785"/>
      <c r="AP6" s="785"/>
      <c r="AQ6" s="785"/>
      <c r="AR6" s="785"/>
      <c r="AS6" s="785"/>
      <c r="AT6" s="785"/>
      <c r="AU6" s="785"/>
      <c r="AV6" s="785"/>
      <c r="AW6" s="785"/>
      <c r="AX6" s="785"/>
      <c r="AY6" s="785"/>
      <c r="AZ6" s="785"/>
      <c r="BA6" s="785"/>
      <c r="BB6" s="785"/>
      <c r="BC6" s="785"/>
      <c r="BD6" s="785"/>
      <c r="BE6" s="785"/>
      <c r="BF6" s="785"/>
      <c r="BG6" s="785"/>
      <c r="BH6" s="785"/>
      <c r="BI6" s="785"/>
      <c r="BJ6" s="785"/>
      <c r="BK6" s="785"/>
      <c r="BL6" s="785"/>
      <c r="BM6" s="785"/>
      <c r="BN6" s="785"/>
      <c r="BO6" s="785"/>
      <c r="BP6" s="785"/>
      <c r="BQ6" s="785"/>
      <c r="BR6" s="785"/>
      <c r="BS6" s="785"/>
      <c r="BT6" s="785"/>
      <c r="BU6" s="785"/>
      <c r="BV6" s="785"/>
      <c r="BW6" s="785"/>
      <c r="BX6" s="785"/>
      <c r="BY6" s="785"/>
      <c r="BZ6" s="785"/>
      <c r="CA6" s="785"/>
      <c r="CB6" s="785"/>
      <c r="CC6" s="785"/>
      <c r="CD6" s="785"/>
      <c r="CE6" s="785"/>
      <c r="CF6" s="785"/>
      <c r="CG6" s="785"/>
      <c r="CH6" s="785"/>
      <c r="CI6" s="785"/>
      <c r="CJ6" s="785"/>
      <c r="CK6" s="785"/>
      <c r="CL6" s="785"/>
      <c r="CM6" s="785"/>
      <c r="CN6" s="785"/>
      <c r="CO6" s="785"/>
      <c r="CP6" s="785"/>
      <c r="CQ6" s="785"/>
      <c r="CR6" s="785"/>
      <c r="CS6" s="785"/>
      <c r="CT6" s="785"/>
      <c r="CU6" s="785"/>
      <c r="CV6" s="785"/>
      <c r="CW6" s="785"/>
      <c r="CX6" s="785"/>
      <c r="CY6" s="785"/>
      <c r="CZ6" s="785"/>
      <c r="DA6" s="785"/>
      <c r="DB6" s="785"/>
      <c r="DC6" s="785"/>
      <c r="DD6" s="785"/>
      <c r="DE6" s="785"/>
      <c r="DF6" s="785"/>
      <c r="DG6" s="785"/>
      <c r="DH6" s="785"/>
      <c r="DI6" s="785"/>
      <c r="DJ6" s="785"/>
      <c r="DK6" s="785"/>
      <c r="DL6" s="785"/>
      <c r="DM6" s="785"/>
      <c r="DN6" s="785"/>
      <c r="DO6" s="785"/>
      <c r="DP6" s="785"/>
      <c r="DQ6" s="785"/>
      <c r="DR6" s="785"/>
      <c r="DS6" s="785"/>
      <c r="DT6" s="785"/>
      <c r="DU6" s="785"/>
      <c r="DV6" s="785"/>
      <c r="DW6" s="785"/>
      <c r="DX6" s="785"/>
      <c r="DY6" s="785"/>
      <c r="DZ6" s="785"/>
      <c r="EA6" s="785"/>
    </row>
    <row r="7" spans="1:131 2330:2330" s="786" customFormat="1" ht="25.5" customHeight="1">
      <c r="A7" s="668">
        <v>2</v>
      </c>
      <c r="B7" s="668" t="s">
        <v>119</v>
      </c>
      <c r="C7" s="668" t="s">
        <v>91</v>
      </c>
      <c r="D7" s="668" t="s">
        <v>207</v>
      </c>
      <c r="E7" s="669">
        <v>41967</v>
      </c>
      <c r="F7" s="666">
        <f t="shared" si="2"/>
        <v>58</v>
      </c>
      <c r="G7" s="670">
        <f>IF(VLOOKUP(F7,'he so'!C:D,2,0)=0,0,VLOOKUP(F7,'he so'!C:D,2,0))</f>
        <v>0.04</v>
      </c>
      <c r="H7" s="671">
        <f t="shared" si="3"/>
        <v>3745000</v>
      </c>
      <c r="I7" s="672" t="s">
        <v>667</v>
      </c>
      <c r="J7" s="672">
        <v>1</v>
      </c>
      <c r="K7" s="783">
        <v>3745000</v>
      </c>
      <c r="L7" s="671">
        <f>VLOOKUP(I7,'thang luong moi'!B:I,'BANG LUONG 1'!J7+1,0)</f>
        <v>4213125</v>
      </c>
      <c r="M7" s="784">
        <f>VLOOKUP(C7,CC!$C$5:$AJ$67,34,0)</f>
        <v>27</v>
      </c>
      <c r="N7" s="950">
        <f>L7/$N$1*M7</f>
        <v>4375168.269230769</v>
      </c>
      <c r="O7" s="671">
        <f>VLOOKUP(C7,CC!$C$5:$AM$67,36,0)</f>
        <v>0</v>
      </c>
      <c r="P7" s="671">
        <f>VLOOKUP(C7,CC!$C$5:$BS$67,69,0)</f>
        <v>0</v>
      </c>
      <c r="Q7" s="671">
        <f>VLOOKUP(C7,CC!$C$5:$BT$67,70,0)</f>
        <v>0</v>
      </c>
      <c r="R7" s="671">
        <f>VLOOKUP(C7,CC!$C$5:$AM$67,37,0)</f>
        <v>0</v>
      </c>
      <c r="S7" s="671">
        <f>VLOOKUP(C7,CC!$C$5:$AM$67,35,0)</f>
        <v>0</v>
      </c>
      <c r="T7" s="960">
        <f>((L7/$N$1)*M7)+(O7*(L7/$N$1))+((P7/8)*1.5*(L7/$N$1))+((Q7/8)*2*L7/$N$1)+(S7*3*(L7/$N$1)+(L7/$N$1)*R7)</f>
        <v>4375168.269230769</v>
      </c>
      <c r="U7" s="671">
        <f>VLOOKUP(C7,'Công tổng'!$C$53:$BY$85,75,0)-N7</f>
        <v>-4130756.7307692305</v>
      </c>
      <c r="V7" s="671">
        <f>+L7*G7</f>
        <v>168525</v>
      </c>
      <c r="W7" s="950">
        <f>(L7)*G7</f>
        <v>168525</v>
      </c>
      <c r="X7" s="950">
        <f>(100%-VLOOKUP(C7,'chuyên cần'!$C$7:$AP$52,40,FALSE))*$X$3</f>
        <v>300000</v>
      </c>
      <c r="Y7" s="671"/>
      <c r="Z7" s="671">
        <f t="shared" si="7"/>
        <v>468525</v>
      </c>
      <c r="AA7" s="674">
        <f>Z7+U7+T7</f>
        <v>712936.5384615385</v>
      </c>
      <c r="AB7" s="674">
        <f>VLOOKUP(C7,'ung luong'!C73:F114,4,0)</f>
        <v>3000000</v>
      </c>
      <c r="AC7" s="674">
        <f t="shared" si="8"/>
        <v>480585</v>
      </c>
      <c r="AD7" s="674">
        <v>4577000</v>
      </c>
      <c r="AE7" s="674"/>
      <c r="AF7" s="674">
        <f>AA7-AB7-AC7</f>
        <v>-2767648.4615384615</v>
      </c>
      <c r="AG7" s="674">
        <f>VLOOKUP(C7,CC!$C$5:$BV$50,72,0)*22000</f>
        <v>0</v>
      </c>
      <c r="AH7" s="674">
        <f>VLOOKUP(C7,CC!$C$5:$BW$50,73,0)*22000</f>
        <v>0</v>
      </c>
      <c r="AI7" s="492"/>
      <c r="AJ7" s="674">
        <f>ROUND(AF7,-3)+AI7+AG7+AH7+AE7</f>
        <v>-2768000</v>
      </c>
      <c r="AK7" s="674">
        <f>ROUND(AF7,-3)+AE7+AH7</f>
        <v>-2768000</v>
      </c>
      <c r="AL7" s="785"/>
      <c r="AM7" s="785"/>
      <c r="AN7" s="785"/>
      <c r="AO7" s="785"/>
      <c r="AP7" s="785"/>
      <c r="AQ7" s="785"/>
      <c r="AR7" s="785"/>
      <c r="AS7" s="785"/>
      <c r="AT7" s="785"/>
      <c r="AU7" s="785"/>
      <c r="AV7" s="785"/>
      <c r="AW7" s="785"/>
      <c r="AX7" s="785"/>
      <c r="AY7" s="785"/>
      <c r="AZ7" s="785"/>
      <c r="BA7" s="785"/>
      <c r="BB7" s="785"/>
      <c r="BC7" s="785"/>
      <c r="BD7" s="785"/>
      <c r="BE7" s="785"/>
      <c r="BF7" s="785"/>
      <c r="BG7" s="785"/>
      <c r="BH7" s="785"/>
      <c r="BI7" s="785"/>
      <c r="BJ7" s="785"/>
      <c r="BK7" s="785"/>
      <c r="BL7" s="785"/>
      <c r="BM7" s="785"/>
      <c r="BN7" s="785"/>
      <c r="BO7" s="785"/>
      <c r="BP7" s="785"/>
      <c r="BQ7" s="785"/>
      <c r="BR7" s="785"/>
      <c r="BS7" s="785"/>
      <c r="BT7" s="785"/>
      <c r="BU7" s="785"/>
      <c r="BV7" s="785"/>
      <c r="BW7" s="785"/>
      <c r="BX7" s="785"/>
      <c r="BY7" s="785"/>
      <c r="BZ7" s="785"/>
      <c r="CA7" s="785"/>
      <c r="CB7" s="785"/>
      <c r="CC7" s="785"/>
      <c r="CD7" s="785"/>
      <c r="CE7" s="785"/>
      <c r="CF7" s="785"/>
      <c r="CG7" s="785"/>
      <c r="CH7" s="785"/>
      <c r="CI7" s="785"/>
      <c r="CJ7" s="785"/>
      <c r="CK7" s="785"/>
      <c r="CL7" s="785"/>
      <c r="CM7" s="785"/>
      <c r="CN7" s="785"/>
      <c r="CO7" s="785"/>
      <c r="CP7" s="785"/>
      <c r="CQ7" s="785"/>
      <c r="CR7" s="785"/>
      <c r="CS7" s="785"/>
      <c r="CT7" s="785"/>
      <c r="CU7" s="785"/>
      <c r="CV7" s="785"/>
      <c r="CW7" s="785"/>
      <c r="CX7" s="785"/>
      <c r="CY7" s="785"/>
      <c r="CZ7" s="785"/>
      <c r="DA7" s="785"/>
      <c r="DB7" s="785"/>
      <c r="DC7" s="785"/>
      <c r="DD7" s="785"/>
      <c r="DE7" s="785"/>
      <c r="DF7" s="785"/>
      <c r="DG7" s="785"/>
      <c r="DH7" s="785"/>
      <c r="DI7" s="785"/>
      <c r="DJ7" s="785"/>
      <c r="DK7" s="785"/>
      <c r="DL7" s="785"/>
      <c r="DM7" s="785"/>
      <c r="DN7" s="785"/>
      <c r="DO7" s="785"/>
      <c r="DP7" s="785"/>
      <c r="DQ7" s="785"/>
      <c r="DR7" s="785"/>
      <c r="DS7" s="785"/>
      <c r="DT7" s="785"/>
      <c r="DU7" s="785"/>
      <c r="DV7" s="785"/>
      <c r="DW7" s="785"/>
      <c r="DX7" s="785"/>
      <c r="DY7" s="785"/>
      <c r="DZ7" s="785"/>
      <c r="EA7" s="785"/>
    </row>
    <row r="8" spans="1:131 2330:2330" s="520" customFormat="1" ht="27.75" customHeight="1">
      <c r="A8" s="437">
        <v>5</v>
      </c>
      <c r="B8" s="437" t="s">
        <v>122</v>
      </c>
      <c r="C8" s="437" t="s">
        <v>784</v>
      </c>
      <c r="D8" s="437" t="s">
        <v>207</v>
      </c>
      <c r="E8" s="488">
        <v>43232</v>
      </c>
      <c r="F8" s="493">
        <f t="shared" si="2"/>
        <v>16</v>
      </c>
      <c r="G8" s="494">
        <f>IF(VLOOKUP(F8,'he so'!C:D,2,0)=0,0,VLOOKUP(F8,'he so'!C:D,2,0))</f>
        <v>0</v>
      </c>
      <c r="H8" s="490">
        <f>$H$3</f>
        <v>3745000</v>
      </c>
      <c r="I8" s="489" t="s">
        <v>667</v>
      </c>
      <c r="J8" s="489">
        <v>1</v>
      </c>
      <c r="K8" s="495">
        <v>3745000</v>
      </c>
      <c r="L8" s="490">
        <f>VLOOKUP(I8,'thang luong moi'!B:I,'BANG LUONG 1'!J8+1,0)</f>
        <v>4213125</v>
      </c>
      <c r="M8" s="491">
        <f>VLOOKUP(C8,CC!$C$5:$AJ$67,34,0)</f>
        <v>27</v>
      </c>
      <c r="N8" s="951">
        <f t="shared" si="4"/>
        <v>4375168.269230769</v>
      </c>
      <c r="O8" s="490">
        <f>VLOOKUP(C8,CC!$C$5:$AM$67,36,0)</f>
        <v>0</v>
      </c>
      <c r="P8" s="490">
        <f>VLOOKUP(C8,CC!$C$5:$BS$67,69,0)</f>
        <v>0</v>
      </c>
      <c r="Q8" s="490">
        <f>VLOOKUP(C8,CC!$C$5:$BT$67,70,0)</f>
        <v>0</v>
      </c>
      <c r="R8" s="490">
        <f>VLOOKUP(C8,CC!$C$5:$AM$67,37,0)</f>
        <v>0</v>
      </c>
      <c r="S8" s="490">
        <f>VLOOKUP(C8,CC!$C$5:$AM$67,35,0)</f>
        <v>0</v>
      </c>
      <c r="T8" s="961">
        <f t="shared" ref="T8:T13" si="10">((L8/$N$1)*M8)+(O8*(L8/$N$1))+((P8/8)*1.5*(L8/$N$1))+((Q8/8)*2*L8/$N$1)+(S8*3*(L8/$N$1)+(L8/$N$1)*R8)</f>
        <v>4375168.269230769</v>
      </c>
      <c r="U8" s="490">
        <f>VLOOKUP(C8,'Công tổng'!$C$53:$BY$85,75,0)-N8</f>
        <v>-4375168.269230769</v>
      </c>
      <c r="V8" s="490">
        <f t="shared" si="5"/>
        <v>0</v>
      </c>
      <c r="W8" s="951">
        <f t="shared" si="6"/>
        <v>0</v>
      </c>
      <c r="X8" s="950">
        <f>(100%-VLOOKUP(C8,'chuyên cần'!$C$7:$AP$52,40,FALSE))*$X$3</f>
        <v>300000</v>
      </c>
      <c r="Y8" s="490"/>
      <c r="Z8" s="490">
        <f t="shared" si="7"/>
        <v>300000</v>
      </c>
      <c r="AA8" s="492">
        <f t="shared" ref="AA8:AA13" si="11">Z8+U8+T8</f>
        <v>300000</v>
      </c>
      <c r="AB8" s="674"/>
      <c r="AC8" s="492">
        <v>205965</v>
      </c>
      <c r="AD8" s="492"/>
      <c r="AE8" s="674"/>
      <c r="AF8" s="492">
        <f>AA8-AB8-AC8</f>
        <v>94035</v>
      </c>
      <c r="AG8" s="674">
        <f>VLOOKUP(C8,CC!$C$5:$BV$50,72,0)*22000</f>
        <v>0</v>
      </c>
      <c r="AH8" s="674">
        <f>VLOOKUP(C8,CC!$C$5:$BW$50,73,0)*22000</f>
        <v>0</v>
      </c>
      <c r="AI8" s="492"/>
      <c r="AJ8" s="674">
        <f t="shared" ref="AJ8:AJ13" si="12">ROUND(AF8,-3)+AI8+AG8+AH8+AE8</f>
        <v>94000</v>
      </c>
      <c r="AK8" s="674">
        <f t="shared" ref="AK8:AK13" si="13">ROUND(AF8,-3)+AE8+AH8</f>
        <v>94000</v>
      </c>
      <c r="AL8" s="519"/>
      <c r="AM8" s="519"/>
      <c r="AN8" s="519"/>
      <c r="AO8" s="519"/>
      <c r="AP8" s="519"/>
      <c r="AQ8" s="519"/>
      <c r="AR8" s="519"/>
      <c r="AS8" s="519"/>
      <c r="AT8" s="519"/>
      <c r="AU8" s="519"/>
      <c r="AV8" s="519"/>
      <c r="AW8" s="519"/>
      <c r="AX8" s="519"/>
      <c r="AY8" s="519"/>
      <c r="AZ8" s="519"/>
      <c r="BA8" s="519"/>
      <c r="BB8" s="519"/>
      <c r="BC8" s="519"/>
      <c r="BD8" s="519"/>
      <c r="BE8" s="519"/>
      <c r="BF8" s="519"/>
      <c r="BG8" s="519"/>
      <c r="BH8" s="519"/>
      <c r="BI8" s="519"/>
      <c r="BJ8" s="519"/>
      <c r="BK8" s="519"/>
      <c r="BL8" s="519"/>
      <c r="BM8" s="519"/>
      <c r="BN8" s="519"/>
      <c r="BO8" s="519"/>
      <c r="BP8" s="519"/>
      <c r="BQ8" s="519"/>
      <c r="BR8" s="519"/>
      <c r="BS8" s="519"/>
      <c r="BT8" s="519"/>
      <c r="BU8" s="519"/>
      <c r="BV8" s="519"/>
      <c r="BW8" s="519"/>
      <c r="BX8" s="519"/>
      <c r="BY8" s="519"/>
      <c r="BZ8" s="519"/>
      <c r="CA8" s="519"/>
      <c r="CB8" s="519"/>
      <c r="CC8" s="519"/>
      <c r="CD8" s="519"/>
      <c r="CE8" s="519"/>
      <c r="CF8" s="519"/>
      <c r="CG8" s="519"/>
      <c r="CH8" s="519"/>
      <c r="CI8" s="519"/>
      <c r="CJ8" s="519"/>
      <c r="CK8" s="519"/>
      <c r="CL8" s="519"/>
      <c r="CM8" s="519"/>
      <c r="CN8" s="519"/>
      <c r="CO8" s="519"/>
      <c r="CP8" s="519"/>
      <c r="CQ8" s="519"/>
      <c r="CR8" s="519"/>
      <c r="CS8" s="519"/>
      <c r="CT8" s="519"/>
      <c r="CU8" s="519"/>
      <c r="CV8" s="519"/>
      <c r="CW8" s="519"/>
      <c r="CX8" s="519"/>
      <c r="CY8" s="519"/>
      <c r="CZ8" s="519"/>
      <c r="DA8" s="519"/>
      <c r="DB8" s="519"/>
      <c r="DC8" s="519"/>
      <c r="DD8" s="519"/>
      <c r="DE8" s="519"/>
      <c r="DF8" s="519"/>
      <c r="DG8" s="519"/>
      <c r="DH8" s="519"/>
      <c r="DI8" s="519"/>
      <c r="DJ8" s="519"/>
      <c r="DK8" s="519"/>
      <c r="DL8" s="519"/>
      <c r="DM8" s="519"/>
      <c r="DN8" s="519"/>
      <c r="DO8" s="519"/>
      <c r="DP8" s="519"/>
      <c r="DQ8" s="519"/>
      <c r="DR8" s="519"/>
      <c r="DS8" s="519"/>
      <c r="DT8" s="519"/>
      <c r="DU8" s="519"/>
      <c r="DV8" s="519"/>
      <c r="DW8" s="519"/>
      <c r="DX8" s="519"/>
      <c r="DY8" s="519"/>
      <c r="DZ8" s="519"/>
    </row>
    <row r="9" spans="1:131 2330:2330" s="577" customFormat="1" ht="21" customHeight="1">
      <c r="A9" s="437">
        <v>7</v>
      </c>
      <c r="B9" s="437" t="s">
        <v>124</v>
      </c>
      <c r="C9" s="437" t="s">
        <v>369</v>
      </c>
      <c r="D9" s="437" t="s">
        <v>207</v>
      </c>
      <c r="E9" s="488">
        <v>42066</v>
      </c>
      <c r="F9" s="493">
        <f t="shared" si="2"/>
        <v>55</v>
      </c>
      <c r="G9" s="494">
        <f>IF(VLOOKUP(F9,'he so'!C:D,2,0)=0,0,VLOOKUP(F9,'he so'!C:D,2,0))</f>
        <v>0.04</v>
      </c>
      <c r="H9" s="490">
        <f t="shared" si="3"/>
        <v>3745000</v>
      </c>
      <c r="I9" s="489" t="s">
        <v>667</v>
      </c>
      <c r="J9" s="489">
        <v>1</v>
      </c>
      <c r="K9" s="495">
        <v>3745000</v>
      </c>
      <c r="L9" s="490">
        <f>VLOOKUP(I9,'thang luong moi'!B:I,'BANG LUONG 1'!J9+1,0)</f>
        <v>4213125</v>
      </c>
      <c r="M9" s="491">
        <f>VLOOKUP(C9,CC!$C$5:$AJ$67,34,0)</f>
        <v>27</v>
      </c>
      <c r="N9" s="951">
        <f t="shared" si="4"/>
        <v>4375168.269230769</v>
      </c>
      <c r="O9" s="490">
        <f>VLOOKUP(C9,CC!$C$5:$AM$67,36,0)</f>
        <v>0</v>
      </c>
      <c r="P9" s="490">
        <f>VLOOKUP(C9,CC!$C$5:$BS$67,69,0)</f>
        <v>0</v>
      </c>
      <c r="Q9" s="490">
        <f>VLOOKUP(C9,CC!$C$5:$BT$67,70,0)</f>
        <v>0</v>
      </c>
      <c r="R9" s="490">
        <f>VLOOKUP(C9,CC!$C$5:$AM$67,37,0)</f>
        <v>0</v>
      </c>
      <c r="S9" s="490">
        <f>VLOOKUP(C9,CC!$C$5:$AM$67,35,0)</f>
        <v>0</v>
      </c>
      <c r="T9" s="961">
        <f t="shared" si="10"/>
        <v>4375168.269230769</v>
      </c>
      <c r="U9" s="490">
        <f>VLOOKUP(C9,'Công tổng'!$C$53:$BY$85,75,0)-N9</f>
        <v>-4130756.7307692305</v>
      </c>
      <c r="V9" s="490">
        <f t="shared" si="5"/>
        <v>168525</v>
      </c>
      <c r="W9" s="951">
        <f t="shared" si="6"/>
        <v>168525</v>
      </c>
      <c r="X9" s="950">
        <f>(100%-VLOOKUP(C9,'chuyên cần'!$C$7:$AP$52,40,FALSE))*$X$3</f>
        <v>300000</v>
      </c>
      <c r="Y9" s="490"/>
      <c r="Z9" s="490">
        <f t="shared" si="7"/>
        <v>468525</v>
      </c>
      <c r="AA9" s="492">
        <f t="shared" si="11"/>
        <v>712936.5384615385</v>
      </c>
      <c r="AB9" s="674">
        <f>VLOOKUP(C9,'ung luong'!C74:F119,4,0)</f>
        <v>4000000</v>
      </c>
      <c r="AC9" s="492">
        <f t="shared" si="8"/>
        <v>480585</v>
      </c>
      <c r="AD9" s="492">
        <v>4577000</v>
      </c>
      <c r="AE9" s="674"/>
      <c r="AF9" s="492">
        <f t="shared" si="9"/>
        <v>-3767648.4615384615</v>
      </c>
      <c r="AG9" s="674">
        <f>VLOOKUP(C9,CC!$C$5:$BV$50,72,0)*22000</f>
        <v>0</v>
      </c>
      <c r="AH9" s="674">
        <f>VLOOKUP(C9,CC!$C$5:$BW$50,73,0)*22000</f>
        <v>0</v>
      </c>
      <c r="AI9" s="492"/>
      <c r="AJ9" s="674">
        <f>ROUND(AF9,-3)+AI9+AG9+AH9+AE9</f>
        <v>-3768000</v>
      </c>
      <c r="AK9" s="674">
        <f t="shared" si="13"/>
        <v>-3768000</v>
      </c>
      <c r="AL9" s="576"/>
      <c r="AM9" s="576"/>
      <c r="AN9" s="576"/>
      <c r="AO9" s="576"/>
      <c r="AP9" s="576"/>
      <c r="AQ9" s="576"/>
      <c r="AR9" s="576"/>
      <c r="AS9" s="576"/>
      <c r="AT9" s="576"/>
      <c r="AU9" s="576"/>
      <c r="AV9" s="576"/>
      <c r="AW9" s="576"/>
      <c r="AX9" s="576"/>
      <c r="AY9" s="576"/>
      <c r="AZ9" s="576"/>
      <c r="BA9" s="576"/>
      <c r="BB9" s="576"/>
      <c r="BC9" s="576"/>
      <c r="BD9" s="576"/>
      <c r="BE9" s="576"/>
      <c r="BF9" s="576"/>
      <c r="BG9" s="576"/>
      <c r="BH9" s="576"/>
      <c r="BI9" s="576"/>
      <c r="BJ9" s="576"/>
      <c r="BK9" s="576"/>
      <c r="BL9" s="576"/>
      <c r="BM9" s="576"/>
      <c r="BN9" s="576"/>
      <c r="BO9" s="576"/>
      <c r="BP9" s="576"/>
      <c r="BQ9" s="576"/>
      <c r="BR9" s="576"/>
      <c r="BS9" s="576"/>
      <c r="BT9" s="576"/>
      <c r="BU9" s="576"/>
      <c r="BV9" s="576"/>
      <c r="BW9" s="576"/>
      <c r="BX9" s="576"/>
      <c r="BY9" s="576"/>
      <c r="BZ9" s="576"/>
      <c r="CA9" s="576"/>
      <c r="CB9" s="576"/>
      <c r="CC9" s="576"/>
      <c r="CD9" s="576"/>
      <c r="CE9" s="576"/>
      <c r="CF9" s="576"/>
      <c r="CG9" s="576"/>
      <c r="CH9" s="576"/>
      <c r="CI9" s="576"/>
      <c r="CJ9" s="576"/>
      <c r="CK9" s="576"/>
      <c r="CL9" s="576"/>
      <c r="CM9" s="576"/>
      <c r="CN9" s="576"/>
      <c r="CO9" s="576"/>
      <c r="CP9" s="576"/>
      <c r="CQ9" s="576"/>
      <c r="CR9" s="576"/>
      <c r="CS9" s="576"/>
      <c r="CT9" s="576"/>
      <c r="CU9" s="576"/>
      <c r="CV9" s="576"/>
      <c r="CW9" s="576"/>
      <c r="CX9" s="576"/>
      <c r="CY9" s="576"/>
      <c r="CZ9" s="576"/>
      <c r="DA9" s="576"/>
      <c r="DB9" s="576"/>
      <c r="DC9" s="576"/>
      <c r="DD9" s="576"/>
      <c r="DE9" s="576"/>
      <c r="DF9" s="576"/>
      <c r="DG9" s="576"/>
      <c r="DH9" s="576"/>
      <c r="DI9" s="576"/>
      <c r="DJ9" s="576"/>
      <c r="DK9" s="576"/>
      <c r="DL9" s="576"/>
      <c r="DM9" s="576"/>
      <c r="DN9" s="576"/>
      <c r="DO9" s="576"/>
      <c r="DP9" s="576"/>
      <c r="DQ9" s="576"/>
      <c r="DR9" s="576"/>
      <c r="DS9" s="576"/>
      <c r="DT9" s="576"/>
      <c r="DU9" s="576"/>
      <c r="DV9" s="576"/>
      <c r="DW9" s="576"/>
      <c r="DX9" s="576"/>
      <c r="DY9" s="576"/>
      <c r="DZ9" s="576"/>
      <c r="CKP9" s="520"/>
    </row>
    <row r="10" spans="1:131 2330:2330" s="520" customFormat="1" ht="21" customHeight="1">
      <c r="A10" s="437">
        <v>9</v>
      </c>
      <c r="B10" s="437" t="s">
        <v>126</v>
      </c>
      <c r="C10" s="437" t="s">
        <v>718</v>
      </c>
      <c r="D10" s="437" t="s">
        <v>207</v>
      </c>
      <c r="E10" s="804">
        <v>42522</v>
      </c>
      <c r="F10" s="493">
        <f t="shared" si="2"/>
        <v>39</v>
      </c>
      <c r="G10" s="494">
        <f>IF(VLOOKUP(F10,'he so'!C:D,2,0)=0,0,VLOOKUP(F10,'he so'!C:D,2,0))</f>
        <v>0.03</v>
      </c>
      <c r="H10" s="490">
        <f t="shared" si="3"/>
        <v>3745000</v>
      </c>
      <c r="I10" s="489" t="s">
        <v>667</v>
      </c>
      <c r="J10" s="489">
        <v>1</v>
      </c>
      <c r="K10" s="495">
        <v>3745000</v>
      </c>
      <c r="L10" s="490">
        <f>VLOOKUP(I10,'thang luong moi'!B:I,'BANG LUONG 1'!J10+1,0)</f>
        <v>4213125</v>
      </c>
      <c r="M10" s="491">
        <f>VLOOKUP(C10,CC!$C$5:$AJ$67,34,0)</f>
        <v>27</v>
      </c>
      <c r="N10" s="951">
        <f t="shared" si="4"/>
        <v>4375168.269230769</v>
      </c>
      <c r="O10" s="490">
        <f>VLOOKUP(C10,CC!$C$5:$AM$67,36,0)</f>
        <v>0</v>
      </c>
      <c r="P10" s="490">
        <f>VLOOKUP(C10,CC!$C$5:$BS$67,69,0)</f>
        <v>0</v>
      </c>
      <c r="Q10" s="490">
        <f>VLOOKUP(C10,CC!$C$5:$BT$67,70,0)</f>
        <v>0</v>
      </c>
      <c r="R10" s="490">
        <f>VLOOKUP(C10,CC!$C$5:$AM$67,37,0)</f>
        <v>0</v>
      </c>
      <c r="S10" s="490">
        <f>VLOOKUP(C10,CC!$C$5:$AM$67,35,0)</f>
        <v>0</v>
      </c>
      <c r="T10" s="961">
        <f t="shared" si="10"/>
        <v>4375168.269230769</v>
      </c>
      <c r="U10" s="490">
        <f>VLOOKUP(C10,'Công tổng'!$C$53:$BY$85,75,0)-N10</f>
        <v>-4117214.423076923</v>
      </c>
      <c r="V10" s="490">
        <f t="shared" si="5"/>
        <v>126393.75</v>
      </c>
      <c r="W10" s="951">
        <f t="shared" si="6"/>
        <v>126393.75</v>
      </c>
      <c r="X10" s="950">
        <f>(100%-VLOOKUP(C10,'chuyên cần'!$C$7:$AP$52,40,FALSE))*$X$3</f>
        <v>300000</v>
      </c>
      <c r="Y10" s="490"/>
      <c r="Z10" s="490">
        <f t="shared" si="7"/>
        <v>426393.75</v>
      </c>
      <c r="AA10" s="492">
        <f t="shared" si="11"/>
        <v>684347.59615384601</v>
      </c>
      <c r="AB10" s="674">
        <f>VLOOKUP(C10,'ung luong'!C75:F121,4,0)</f>
        <v>3000000</v>
      </c>
      <c r="AC10" s="492">
        <f t="shared" si="8"/>
        <v>480585</v>
      </c>
      <c r="AD10" s="492">
        <v>4577000</v>
      </c>
      <c r="AE10" s="674"/>
      <c r="AF10" s="492">
        <f t="shared" si="9"/>
        <v>-2796237.403846154</v>
      </c>
      <c r="AG10" s="674">
        <f>VLOOKUP(C10,CC!$C$5:$BV$50,72,0)*22000</f>
        <v>0</v>
      </c>
      <c r="AH10" s="674">
        <f>VLOOKUP(C10,CC!$C$5:$BW$50,73,0)*22000</f>
        <v>0</v>
      </c>
      <c r="AI10" s="492"/>
      <c r="AJ10" s="674">
        <f t="shared" si="12"/>
        <v>-2796000</v>
      </c>
      <c r="AK10" s="674">
        <f t="shared" si="13"/>
        <v>-2796000</v>
      </c>
      <c r="AL10" s="519"/>
      <c r="AM10" s="519"/>
      <c r="AN10" s="519"/>
      <c r="AO10" s="519"/>
      <c r="AP10" s="519"/>
      <c r="AQ10" s="519"/>
      <c r="AR10" s="519"/>
      <c r="AS10" s="519"/>
      <c r="AT10" s="519"/>
      <c r="AU10" s="519"/>
      <c r="AV10" s="519"/>
      <c r="AW10" s="519"/>
      <c r="AX10" s="519"/>
      <c r="AY10" s="519"/>
      <c r="AZ10" s="519"/>
      <c r="BA10" s="519"/>
      <c r="BB10" s="519"/>
      <c r="BC10" s="519"/>
      <c r="BD10" s="519"/>
      <c r="BE10" s="519"/>
      <c r="BF10" s="519"/>
      <c r="BG10" s="519"/>
      <c r="BH10" s="519"/>
      <c r="BI10" s="519"/>
      <c r="BJ10" s="519"/>
      <c r="BK10" s="519"/>
      <c r="BL10" s="519"/>
      <c r="BM10" s="519"/>
      <c r="BN10" s="519"/>
      <c r="BO10" s="519"/>
      <c r="BP10" s="519"/>
      <c r="BQ10" s="519"/>
      <c r="BR10" s="519"/>
      <c r="BS10" s="519"/>
      <c r="BT10" s="519"/>
      <c r="BU10" s="519"/>
      <c r="BV10" s="519"/>
      <c r="BW10" s="519"/>
      <c r="BX10" s="519"/>
      <c r="BY10" s="519"/>
      <c r="BZ10" s="519"/>
      <c r="CA10" s="519"/>
      <c r="CB10" s="519"/>
      <c r="CC10" s="519"/>
      <c r="CD10" s="519"/>
      <c r="CE10" s="519"/>
      <c r="CF10" s="519"/>
      <c r="CG10" s="519"/>
      <c r="CH10" s="519"/>
      <c r="CI10" s="519"/>
      <c r="CJ10" s="519"/>
      <c r="CK10" s="519"/>
      <c r="CL10" s="519"/>
      <c r="CM10" s="519"/>
      <c r="CN10" s="519"/>
      <c r="CO10" s="519"/>
      <c r="CP10" s="519"/>
      <c r="CQ10" s="519"/>
      <c r="CR10" s="519"/>
      <c r="CS10" s="519"/>
      <c r="CT10" s="519"/>
      <c r="CU10" s="519"/>
      <c r="CV10" s="519"/>
      <c r="CW10" s="519"/>
      <c r="CX10" s="519"/>
      <c r="CY10" s="519"/>
      <c r="CZ10" s="519"/>
      <c r="DA10" s="519"/>
      <c r="DB10" s="519"/>
      <c r="DC10" s="519"/>
      <c r="DD10" s="519"/>
      <c r="DE10" s="519"/>
      <c r="DF10" s="519"/>
      <c r="DG10" s="519"/>
      <c r="DH10" s="519"/>
      <c r="DI10" s="519"/>
      <c r="DJ10" s="519"/>
      <c r="DK10" s="519"/>
      <c r="DL10" s="519"/>
      <c r="DM10" s="519"/>
      <c r="DN10" s="519"/>
      <c r="DO10" s="519"/>
      <c r="DP10" s="519"/>
      <c r="DQ10" s="519"/>
      <c r="DR10" s="519"/>
      <c r="DS10" s="519"/>
      <c r="DT10" s="519"/>
      <c r="DU10" s="519"/>
      <c r="DV10" s="519"/>
      <c r="DW10" s="519"/>
      <c r="DX10" s="519"/>
      <c r="DY10" s="519"/>
      <c r="DZ10" s="519"/>
    </row>
    <row r="11" spans="1:131 2330:2330" s="520" customFormat="1" ht="21" customHeight="1">
      <c r="A11" s="668">
        <v>10</v>
      </c>
      <c r="B11" s="668" t="s">
        <v>127</v>
      </c>
      <c r="C11" s="437" t="s">
        <v>753</v>
      </c>
      <c r="D11" s="437" t="s">
        <v>207</v>
      </c>
      <c r="E11" s="804">
        <v>42731</v>
      </c>
      <c r="F11" s="493">
        <f t="shared" si="2"/>
        <v>32</v>
      </c>
      <c r="G11" s="494">
        <f>IF(VLOOKUP(F11,'he so'!C:D,2,0)=0,0,VLOOKUP(F11,'he so'!C:D,2,0))</f>
        <v>0</v>
      </c>
      <c r="H11" s="490">
        <f t="shared" si="3"/>
        <v>3745000</v>
      </c>
      <c r="I11" s="489" t="s">
        <v>667</v>
      </c>
      <c r="J11" s="489">
        <v>1</v>
      </c>
      <c r="K11" s="495">
        <v>3745000</v>
      </c>
      <c r="L11" s="490">
        <f>VLOOKUP(I11,'thang luong moi'!B:I,'BANG LUONG 1'!J11+1,0)</f>
        <v>4213125</v>
      </c>
      <c r="M11" s="491">
        <f>VLOOKUP(C11,CC!$C$5:$AJ$67,34,0)</f>
        <v>27</v>
      </c>
      <c r="N11" s="951">
        <f t="shared" si="4"/>
        <v>4375168.269230769</v>
      </c>
      <c r="O11" s="490">
        <f>VLOOKUP(C11,CC!$C$5:$AM$67,36,0)</f>
        <v>0</v>
      </c>
      <c r="P11" s="490">
        <f>VLOOKUP(C11,CC!$C$5:$BS$67,69,0)</f>
        <v>0</v>
      </c>
      <c r="Q11" s="490">
        <f>VLOOKUP(C11,CC!$C$5:$BT$67,70,0)</f>
        <v>0</v>
      </c>
      <c r="R11" s="490">
        <f>VLOOKUP(C11,CC!$C$5:$AM$67,37,0)</f>
        <v>0</v>
      </c>
      <c r="S11" s="490">
        <f>VLOOKUP(C11,CC!$C$5:$AM$67,35,0)</f>
        <v>0</v>
      </c>
      <c r="T11" s="961">
        <f t="shared" si="10"/>
        <v>4375168.269230769</v>
      </c>
      <c r="U11" s="490">
        <f>VLOOKUP(C11,'Công tổng'!$C$53:$BY$85,75,0)-N11</f>
        <v>-4130756.7307692305</v>
      </c>
      <c r="V11" s="490">
        <f t="shared" si="5"/>
        <v>0</v>
      </c>
      <c r="W11" s="951">
        <f t="shared" si="6"/>
        <v>0</v>
      </c>
      <c r="X11" s="950">
        <f>(100%-VLOOKUP(C11,'chuyên cần'!$C$7:$AP$52,40,FALSE))*$X$3</f>
        <v>300000</v>
      </c>
      <c r="Y11" s="490"/>
      <c r="Z11" s="490">
        <f t="shared" si="7"/>
        <v>300000</v>
      </c>
      <c r="AA11" s="492">
        <f t="shared" si="11"/>
        <v>544411.5384615385</v>
      </c>
      <c r="AB11" s="674">
        <f>VLOOKUP(C11,'ung luong'!C76:F122,4,0)</f>
        <v>3000000</v>
      </c>
      <c r="AC11" s="492">
        <f t="shared" si="8"/>
        <v>480585</v>
      </c>
      <c r="AD11" s="492">
        <v>4577000</v>
      </c>
      <c r="AE11" s="674"/>
      <c r="AF11" s="492">
        <f t="shared" si="9"/>
        <v>-2936173.4615384615</v>
      </c>
      <c r="AG11" s="674">
        <f>VLOOKUP(C11,CC!$C$5:$BV$50,72,0)*22000</f>
        <v>0</v>
      </c>
      <c r="AH11" s="674">
        <f>VLOOKUP(C11,CC!$C$5:$BW$50,73,0)*22000</f>
        <v>0</v>
      </c>
      <c r="AI11" s="492"/>
      <c r="AJ11" s="674">
        <f t="shared" si="12"/>
        <v>-2936000</v>
      </c>
      <c r="AK11" s="674">
        <f>ROUND(AF11,-3)+AE11+AH11</f>
        <v>-2936000</v>
      </c>
      <c r="AL11" s="519"/>
      <c r="AM11" s="519"/>
      <c r="AN11" s="519"/>
      <c r="AO11" s="519"/>
      <c r="AP11" s="519"/>
      <c r="AQ11" s="519"/>
      <c r="AR11" s="519"/>
      <c r="AS11" s="519"/>
      <c r="AT11" s="519"/>
      <c r="AU11" s="519"/>
      <c r="AV11" s="519"/>
      <c r="AW11" s="519"/>
      <c r="AX11" s="519"/>
      <c r="AY11" s="519"/>
      <c r="AZ11" s="519"/>
      <c r="BA11" s="519"/>
      <c r="BB11" s="519"/>
      <c r="BC11" s="519"/>
      <c r="BD11" s="519"/>
      <c r="BE11" s="519"/>
      <c r="BF11" s="519"/>
      <c r="BG11" s="519"/>
      <c r="BH11" s="519"/>
      <c r="BI11" s="519"/>
      <c r="BJ11" s="519"/>
      <c r="BK11" s="519"/>
      <c r="BL11" s="519"/>
      <c r="BM11" s="519"/>
      <c r="BN11" s="519"/>
      <c r="BO11" s="519"/>
      <c r="BP11" s="519"/>
      <c r="BQ11" s="519"/>
      <c r="BR11" s="519"/>
      <c r="BS11" s="519"/>
      <c r="BT11" s="519"/>
      <c r="BU11" s="519"/>
      <c r="BV11" s="519"/>
      <c r="BW11" s="519"/>
      <c r="BX11" s="519"/>
      <c r="BY11" s="519"/>
      <c r="BZ11" s="519"/>
      <c r="CA11" s="519"/>
      <c r="CB11" s="519"/>
      <c r="CC11" s="519"/>
      <c r="CD11" s="519"/>
      <c r="CE11" s="519"/>
      <c r="CF11" s="519"/>
      <c r="CG11" s="519"/>
      <c r="CH11" s="519"/>
      <c r="CI11" s="519"/>
      <c r="CJ11" s="519"/>
      <c r="CK11" s="519"/>
      <c r="CL11" s="519"/>
      <c r="CM11" s="519"/>
      <c r="CN11" s="519"/>
      <c r="CO11" s="519"/>
      <c r="CP11" s="519"/>
      <c r="CQ11" s="519"/>
      <c r="CR11" s="519"/>
      <c r="CS11" s="519"/>
      <c r="CT11" s="519"/>
      <c r="CU11" s="519"/>
      <c r="CV11" s="519"/>
      <c r="CW11" s="519"/>
      <c r="CX11" s="519"/>
      <c r="CY11" s="519"/>
      <c r="CZ11" s="519"/>
      <c r="DA11" s="519"/>
      <c r="DB11" s="519"/>
      <c r="DC11" s="519"/>
      <c r="DD11" s="519"/>
      <c r="DE11" s="519"/>
      <c r="DF11" s="519"/>
      <c r="DG11" s="519"/>
      <c r="DH11" s="519"/>
      <c r="DI11" s="519"/>
      <c r="DJ11" s="519"/>
      <c r="DK11" s="519"/>
      <c r="DL11" s="519"/>
      <c r="DM11" s="519"/>
      <c r="DN11" s="519"/>
      <c r="DO11" s="519"/>
      <c r="DP11" s="519"/>
      <c r="DQ11" s="519"/>
      <c r="DR11" s="519"/>
      <c r="DS11" s="519"/>
      <c r="DT11" s="519"/>
      <c r="DU11" s="519"/>
      <c r="DV11" s="519"/>
      <c r="DW11" s="519"/>
      <c r="DX11" s="519"/>
      <c r="DY11" s="519"/>
      <c r="DZ11" s="519"/>
    </row>
    <row r="12" spans="1:131 2330:2330" s="520" customFormat="1" ht="21" customHeight="1">
      <c r="A12" s="437">
        <v>11</v>
      </c>
      <c r="B12" s="437" t="s">
        <v>128</v>
      </c>
      <c r="C12" s="437" t="s">
        <v>743</v>
      </c>
      <c r="D12" s="437" t="s">
        <v>207</v>
      </c>
      <c r="E12" s="805">
        <v>42522</v>
      </c>
      <c r="F12" s="493">
        <f t="shared" si="2"/>
        <v>39</v>
      </c>
      <c r="G12" s="494">
        <f>IF(VLOOKUP(F12,'he so'!C:D,2,0)=0,0,VLOOKUP(F12,'he so'!C:D,2,0))</f>
        <v>0.03</v>
      </c>
      <c r="H12" s="490">
        <f t="shared" si="3"/>
        <v>3745000</v>
      </c>
      <c r="I12" s="489" t="s">
        <v>667</v>
      </c>
      <c r="J12" s="489">
        <v>1</v>
      </c>
      <c r="K12" s="495">
        <v>3745000</v>
      </c>
      <c r="L12" s="490">
        <f>VLOOKUP(I12,'thang luong moi'!B:I,'BANG LUONG 1'!J12+1,0)</f>
        <v>4213125</v>
      </c>
      <c r="M12" s="491">
        <f>VLOOKUP(C12,CC!$C$5:$AJ$67,34,0)</f>
        <v>27</v>
      </c>
      <c r="N12" s="951">
        <f t="shared" si="4"/>
        <v>4375168.269230769</v>
      </c>
      <c r="O12" s="490">
        <f>VLOOKUP(C12,CC!$C$5:$AM$67,36,0)</f>
        <v>0</v>
      </c>
      <c r="P12" s="490">
        <f>VLOOKUP(C12,CC!$C$5:$BS$67,69,0)</f>
        <v>0</v>
      </c>
      <c r="Q12" s="490">
        <f>VLOOKUP(C12,CC!$C$5:$BT$67,70,0)</f>
        <v>0</v>
      </c>
      <c r="R12" s="490">
        <f>VLOOKUP(C12,CC!$C$5:$AM$67,37,0)</f>
        <v>0</v>
      </c>
      <c r="S12" s="490">
        <f>VLOOKUP(C12,CC!$C$5:$AM$67,35,0)</f>
        <v>0</v>
      </c>
      <c r="T12" s="961">
        <f t="shared" si="10"/>
        <v>4375168.269230769</v>
      </c>
      <c r="U12" s="490">
        <f>VLOOKUP(C12,'Công tổng'!$C$53:$BY$85,75,0)-N12</f>
        <v>-4117214.423076923</v>
      </c>
      <c r="V12" s="490">
        <f t="shared" si="5"/>
        <v>126393.75</v>
      </c>
      <c r="W12" s="951">
        <f t="shared" si="6"/>
        <v>126393.75</v>
      </c>
      <c r="X12" s="950">
        <f>(100%-VLOOKUP(C12,'chuyên cần'!$C$7:$AP$52,40,FALSE))*$X$3</f>
        <v>300000</v>
      </c>
      <c r="Y12" s="490"/>
      <c r="Z12" s="490">
        <f t="shared" si="7"/>
        <v>426393.75</v>
      </c>
      <c r="AA12" s="492">
        <f t="shared" si="11"/>
        <v>684347.59615384601</v>
      </c>
      <c r="AB12" s="674">
        <f>VLOOKUP(C12,'ung luong'!C77:F123,4,0)</f>
        <v>4000000</v>
      </c>
      <c r="AC12" s="492">
        <f t="shared" si="8"/>
        <v>480585</v>
      </c>
      <c r="AD12" s="492">
        <v>4577000</v>
      </c>
      <c r="AE12" s="674"/>
      <c r="AF12" s="492">
        <f t="shared" si="9"/>
        <v>-3796237.403846154</v>
      </c>
      <c r="AG12" s="674">
        <f>VLOOKUP(C12,CC!$C$5:$BV$50,72,0)*22000</f>
        <v>0</v>
      </c>
      <c r="AH12" s="674">
        <f>VLOOKUP(C12,CC!$C$5:$BW$50,73,0)*22000</f>
        <v>0</v>
      </c>
      <c r="AI12" s="492"/>
      <c r="AJ12" s="674">
        <f t="shared" si="12"/>
        <v>-3796000</v>
      </c>
      <c r="AK12" s="674">
        <f t="shared" si="13"/>
        <v>-3796000</v>
      </c>
      <c r="AL12" s="519"/>
      <c r="AM12" s="519"/>
      <c r="AN12" s="519"/>
      <c r="AO12" s="519"/>
      <c r="AP12" s="519"/>
      <c r="AQ12" s="519"/>
      <c r="AR12" s="519"/>
      <c r="AS12" s="519"/>
      <c r="AT12" s="519"/>
      <c r="AU12" s="519"/>
      <c r="AV12" s="519"/>
      <c r="AW12" s="519"/>
      <c r="AX12" s="519"/>
      <c r="AY12" s="519"/>
      <c r="AZ12" s="519"/>
      <c r="BA12" s="519"/>
      <c r="BB12" s="519"/>
      <c r="BC12" s="519"/>
      <c r="BD12" s="519"/>
      <c r="BE12" s="519"/>
      <c r="BF12" s="519"/>
      <c r="BG12" s="519"/>
      <c r="BH12" s="519"/>
      <c r="BI12" s="519"/>
      <c r="BJ12" s="519"/>
      <c r="BK12" s="519"/>
      <c r="BL12" s="519"/>
      <c r="BM12" s="519"/>
      <c r="BN12" s="519"/>
      <c r="BO12" s="519"/>
      <c r="BP12" s="519"/>
      <c r="BQ12" s="519"/>
      <c r="BR12" s="519"/>
      <c r="BS12" s="519"/>
      <c r="BT12" s="519"/>
      <c r="BU12" s="519"/>
      <c r="BV12" s="519"/>
      <c r="BW12" s="519"/>
      <c r="BX12" s="519"/>
      <c r="BY12" s="519"/>
      <c r="BZ12" s="519"/>
      <c r="CA12" s="519"/>
      <c r="CB12" s="519"/>
      <c r="CC12" s="519"/>
      <c r="CD12" s="519"/>
      <c r="CE12" s="519"/>
      <c r="CF12" s="519"/>
      <c r="CG12" s="519"/>
      <c r="CH12" s="519"/>
      <c r="CI12" s="519"/>
      <c r="CJ12" s="519"/>
      <c r="CK12" s="519"/>
      <c r="CL12" s="519"/>
      <c r="CM12" s="519"/>
      <c r="CN12" s="519"/>
      <c r="CO12" s="519"/>
      <c r="CP12" s="519"/>
      <c r="CQ12" s="519"/>
      <c r="CR12" s="519"/>
      <c r="CS12" s="519"/>
      <c r="CT12" s="519"/>
      <c r="CU12" s="519"/>
      <c r="CV12" s="519"/>
      <c r="CW12" s="519"/>
      <c r="CX12" s="519"/>
      <c r="CY12" s="519"/>
      <c r="CZ12" s="519"/>
      <c r="DA12" s="519"/>
      <c r="DB12" s="519"/>
      <c r="DC12" s="519"/>
      <c r="DD12" s="519"/>
      <c r="DE12" s="519"/>
      <c r="DF12" s="519"/>
      <c r="DG12" s="519"/>
      <c r="DH12" s="519"/>
      <c r="DI12" s="519"/>
      <c r="DJ12" s="519"/>
      <c r="DK12" s="519"/>
      <c r="DL12" s="519"/>
      <c r="DM12" s="519"/>
      <c r="DN12" s="519"/>
      <c r="DO12" s="519"/>
      <c r="DP12" s="519"/>
      <c r="DQ12" s="519"/>
      <c r="DR12" s="519"/>
      <c r="DS12" s="519"/>
      <c r="DT12" s="519"/>
      <c r="DU12" s="519"/>
      <c r="DV12" s="519"/>
      <c r="DW12" s="519"/>
      <c r="DX12" s="519"/>
      <c r="DY12" s="519"/>
      <c r="DZ12" s="519"/>
    </row>
    <row r="13" spans="1:131 2330:2330" s="520" customFormat="1" ht="21" customHeight="1">
      <c r="A13" s="668">
        <v>12</v>
      </c>
      <c r="B13" s="668" t="s">
        <v>129</v>
      </c>
      <c r="C13" s="437" t="s">
        <v>599</v>
      </c>
      <c r="D13" s="437" t="s">
        <v>207</v>
      </c>
      <c r="E13" s="804">
        <v>42415</v>
      </c>
      <c r="F13" s="493">
        <f t="shared" si="2"/>
        <v>43</v>
      </c>
      <c r="G13" s="494">
        <f>IF(VLOOKUP(F13,'he so'!C:D,2,0)=0,0,VLOOKUP(F13,'he so'!C:D,2,0))</f>
        <v>0.03</v>
      </c>
      <c r="H13" s="490">
        <f t="shared" si="3"/>
        <v>3745000</v>
      </c>
      <c r="I13" s="489" t="s">
        <v>667</v>
      </c>
      <c r="J13" s="489">
        <v>1</v>
      </c>
      <c r="K13" s="495">
        <v>3745000</v>
      </c>
      <c r="L13" s="490">
        <f>VLOOKUP(I13,'thang luong moi'!B:I,'BANG LUONG 1'!J13+1,0)</f>
        <v>4213125</v>
      </c>
      <c r="M13" s="491">
        <f>VLOOKUP(C13,CC!$C$5:$AJ$67,34,0)</f>
        <v>27</v>
      </c>
      <c r="N13" s="951">
        <f t="shared" si="4"/>
        <v>4375168.269230769</v>
      </c>
      <c r="O13" s="490">
        <f>VLOOKUP(C13,CC!$C$5:$AM$67,36,0)</f>
        <v>0</v>
      </c>
      <c r="P13" s="490">
        <f>VLOOKUP(C13,CC!$C$5:$BS$67,69,0)</f>
        <v>0</v>
      </c>
      <c r="Q13" s="490">
        <f>VLOOKUP(C13,CC!$C$5:$BT$67,70,0)</f>
        <v>0</v>
      </c>
      <c r="R13" s="490">
        <f>VLOOKUP(C13,CC!$C$5:$AM$67,37,0)</f>
        <v>0</v>
      </c>
      <c r="S13" s="490">
        <f>VLOOKUP(C13,CC!$C$5:$AM$67,35,0)</f>
        <v>0</v>
      </c>
      <c r="T13" s="961">
        <f t="shared" si="10"/>
        <v>4375168.269230769</v>
      </c>
      <c r="U13" s="490">
        <f>VLOOKUP(C13,'Công tổng'!$C$53:$BY$85,75,0)-N13</f>
        <v>-4130756.7307692305</v>
      </c>
      <c r="V13" s="490">
        <f t="shared" si="5"/>
        <v>126393.75</v>
      </c>
      <c r="W13" s="951">
        <f t="shared" si="6"/>
        <v>126393.75</v>
      </c>
      <c r="X13" s="950">
        <f>(100%-VLOOKUP(C13,'chuyên cần'!$C$7:$AP$52,40,FALSE))*$X$3</f>
        <v>300000</v>
      </c>
      <c r="Y13" s="490"/>
      <c r="Z13" s="490">
        <f t="shared" si="7"/>
        <v>426393.75</v>
      </c>
      <c r="AA13" s="492">
        <f t="shared" si="11"/>
        <v>670805.2884615385</v>
      </c>
      <c r="AB13" s="674">
        <f>VLOOKUP(C13,'ung luong'!C78:F124,4,0)</f>
        <v>0</v>
      </c>
      <c r="AC13" s="492">
        <f t="shared" si="8"/>
        <v>480585</v>
      </c>
      <c r="AD13" s="492">
        <v>4577000</v>
      </c>
      <c r="AE13" s="674"/>
      <c r="AF13" s="492">
        <f t="shared" si="9"/>
        <v>190220.2884615385</v>
      </c>
      <c r="AG13" s="674">
        <f>VLOOKUP(C13,CC!$C$5:$BV$50,72,0)*22000</f>
        <v>0</v>
      </c>
      <c r="AH13" s="674">
        <f>VLOOKUP(C13,CC!$C$5:$BW$50,73,0)*22000</f>
        <v>0</v>
      </c>
      <c r="AI13" s="492"/>
      <c r="AJ13" s="674">
        <f t="shared" si="12"/>
        <v>190000</v>
      </c>
      <c r="AK13" s="674">
        <f t="shared" si="13"/>
        <v>190000</v>
      </c>
      <c r="AL13" s="519"/>
      <c r="AM13" s="519"/>
      <c r="AN13" s="519"/>
      <c r="AO13" s="519"/>
      <c r="AP13" s="519"/>
      <c r="AQ13" s="519"/>
      <c r="AR13" s="519"/>
      <c r="AS13" s="519"/>
      <c r="AT13" s="519"/>
      <c r="AU13" s="519"/>
      <c r="AV13" s="519"/>
      <c r="AW13" s="519"/>
      <c r="AX13" s="519"/>
      <c r="AY13" s="519"/>
      <c r="AZ13" s="519"/>
      <c r="BA13" s="519"/>
      <c r="BB13" s="519"/>
      <c r="BC13" s="519"/>
      <c r="BD13" s="519"/>
      <c r="BE13" s="519"/>
      <c r="BF13" s="519"/>
      <c r="BG13" s="519"/>
      <c r="BH13" s="519"/>
      <c r="BI13" s="519"/>
      <c r="BJ13" s="519"/>
      <c r="BK13" s="519"/>
      <c r="BL13" s="519"/>
      <c r="BM13" s="519"/>
      <c r="BN13" s="519"/>
      <c r="BO13" s="519"/>
      <c r="BP13" s="519"/>
      <c r="BQ13" s="519"/>
      <c r="BR13" s="519"/>
      <c r="BS13" s="519"/>
      <c r="BT13" s="519"/>
      <c r="BU13" s="519"/>
      <c r="BV13" s="519"/>
      <c r="BW13" s="519"/>
      <c r="BX13" s="519"/>
      <c r="BY13" s="519"/>
      <c r="BZ13" s="519"/>
      <c r="CA13" s="519"/>
      <c r="CB13" s="519"/>
      <c r="CC13" s="519"/>
      <c r="CD13" s="519"/>
      <c r="CE13" s="519"/>
      <c r="CF13" s="519"/>
      <c r="CG13" s="519"/>
      <c r="CH13" s="519"/>
      <c r="CI13" s="519"/>
      <c r="CJ13" s="519"/>
      <c r="CK13" s="519"/>
      <c r="CL13" s="519"/>
      <c r="CM13" s="519"/>
      <c r="CN13" s="519"/>
      <c r="CO13" s="519"/>
      <c r="CP13" s="519"/>
      <c r="CQ13" s="519"/>
      <c r="CR13" s="519"/>
      <c r="CS13" s="519"/>
      <c r="CT13" s="519"/>
      <c r="CU13" s="519"/>
      <c r="CV13" s="519"/>
      <c r="CW13" s="519"/>
      <c r="CX13" s="519"/>
      <c r="CY13" s="519"/>
      <c r="CZ13" s="519"/>
      <c r="DA13" s="519"/>
      <c r="DB13" s="519"/>
      <c r="DC13" s="519"/>
      <c r="DD13" s="519"/>
      <c r="DE13" s="519"/>
      <c r="DF13" s="519"/>
      <c r="DG13" s="519"/>
      <c r="DH13" s="519"/>
      <c r="DI13" s="519"/>
      <c r="DJ13" s="519"/>
      <c r="DK13" s="519"/>
      <c r="DL13" s="519"/>
      <c r="DM13" s="519"/>
      <c r="DN13" s="519"/>
      <c r="DO13" s="519"/>
      <c r="DP13" s="519"/>
      <c r="DQ13" s="519"/>
      <c r="DR13" s="519"/>
      <c r="DS13" s="519"/>
      <c r="DT13" s="519"/>
      <c r="DU13" s="519"/>
      <c r="DV13" s="519"/>
      <c r="DW13" s="519"/>
      <c r="DX13" s="519"/>
      <c r="DY13" s="519"/>
      <c r="DZ13" s="519"/>
    </row>
    <row r="14" spans="1:131 2330:2330" s="520" customFormat="1" ht="21" customHeight="1">
      <c r="A14" s="668"/>
      <c r="B14" s="668" t="s">
        <v>163</v>
      </c>
      <c r="C14" s="437" t="s">
        <v>888</v>
      </c>
      <c r="D14" s="437" t="s">
        <v>207</v>
      </c>
      <c r="E14" s="804">
        <v>43619</v>
      </c>
      <c r="F14" s="493">
        <f t="shared" ref="F14:F15" si="14">IF(IF(E14="",0,ROUND(($P$2-E14)/30,0))&lt;0,0,IF(E14="",0,ROUND(($P$2-E14)/30,0)))</f>
        <v>3</v>
      </c>
      <c r="G14" s="494">
        <f>IF(VLOOKUP(F14,'he so'!C:D,2,0)=0,0,VLOOKUP(F14,'he so'!C:D,2,0))</f>
        <v>0</v>
      </c>
      <c r="H14" s="490">
        <f t="shared" si="3"/>
        <v>3745000</v>
      </c>
      <c r="I14" s="489" t="s">
        <v>667</v>
      </c>
      <c r="J14" s="489">
        <v>1</v>
      </c>
      <c r="K14" s="495">
        <v>3745000</v>
      </c>
      <c r="L14" s="490">
        <f>VLOOKUP(I14,'thang luong moi'!B:I,'BANG LUONG 1'!J14+1,0)</f>
        <v>4213125</v>
      </c>
      <c r="M14" s="491">
        <f>VLOOKUP(C14,CC!$C$5:$AJ$67,34,0)</f>
        <v>27</v>
      </c>
      <c r="N14" s="951">
        <f t="shared" ref="N14:N15" si="15">L14/$N$1*M14</f>
        <v>4375168.269230769</v>
      </c>
      <c r="O14" s="490">
        <f>VLOOKUP(C14,CC!$C$5:$AM$67,36,0)</f>
        <v>0</v>
      </c>
      <c r="P14" s="490">
        <f>VLOOKUP(C14,CC!$C$5:$BS$67,69,0)</f>
        <v>0</v>
      </c>
      <c r="Q14" s="490">
        <f>VLOOKUP(C14,CC!$C$5:$BT$67,70,0)</f>
        <v>0</v>
      </c>
      <c r="R14" s="490">
        <f>VLOOKUP(C14,CC!$C$5:$AM$67,37,0)</f>
        <v>0</v>
      </c>
      <c r="S14" s="490">
        <f>VLOOKUP(C14,CC!$C$5:$AM$67,35,0)</f>
        <v>0</v>
      </c>
      <c r="T14" s="961">
        <f t="shared" ref="T14:T15" si="16">((L14/$N$1)*M14)+(O14*(L14/$N$1))+((P14/8)*1.5*(L14/$N$1))+((Q14/8)*2*L14/$N$1)+(S14*3*(L14/$N$1)+(L14/$N$1)*R14)</f>
        <v>4375168.269230769</v>
      </c>
      <c r="U14" s="490">
        <f>VLOOKUP(C14,'Công tổng'!$C$53:$BY$85,75,0)-N14</f>
        <v>-4130756.7307692305</v>
      </c>
      <c r="V14" s="490">
        <f t="shared" ref="V14:V15" si="17">+L14*G14</f>
        <v>0</v>
      </c>
      <c r="W14" s="951">
        <f t="shared" ref="W14:W15" si="18">(L14)*G14</f>
        <v>0</v>
      </c>
      <c r="X14" s="950">
        <f>(100%-VLOOKUP(C14,'chuyên cần'!$C$7:$AP$52,40,FALSE))*$X$3</f>
        <v>300000</v>
      </c>
      <c r="Y14" s="490"/>
      <c r="Z14" s="490">
        <f t="shared" ref="Z14:Z15" si="19">SUM(W14:Y14)</f>
        <v>300000</v>
      </c>
      <c r="AA14" s="492">
        <f t="shared" ref="AA14:AA15" si="20">Z14+U14+T14</f>
        <v>544411.5384615385</v>
      </c>
      <c r="AB14" s="674">
        <f>VLOOKUP(C14,'ung luong'!C79:F125,4,0)</f>
        <v>0</v>
      </c>
      <c r="AC14" s="492">
        <f t="shared" ref="AC14:AC15" si="21">AD14*$AC$2</f>
        <v>0</v>
      </c>
      <c r="AD14" s="492"/>
      <c r="AE14" s="674"/>
      <c r="AF14" s="492">
        <f t="shared" ref="AF14:AF15" si="22">AA14-AB14-AC14</f>
        <v>544411.5384615385</v>
      </c>
      <c r="AG14" s="674">
        <f>VLOOKUP(C14,CC!$C$5:$BV$50,72,0)*22000</f>
        <v>0</v>
      </c>
      <c r="AH14" s="674">
        <f>VLOOKUP(C14,CC!$C$5:$BW$50,73,0)*22000</f>
        <v>0</v>
      </c>
      <c r="AI14" s="492"/>
      <c r="AJ14" s="674">
        <f t="shared" ref="AJ14:AJ15" si="23">ROUND(AF14,-3)+AI14+AG14+AH14+AE14</f>
        <v>544000</v>
      </c>
      <c r="AK14" s="674">
        <f t="shared" ref="AK14:AK15" si="24">ROUND(AF14,-3)+AE14+AH14</f>
        <v>544000</v>
      </c>
      <c r="AL14" s="519"/>
      <c r="AM14" s="519"/>
      <c r="AN14" s="519"/>
      <c r="AO14" s="519"/>
      <c r="AP14" s="519"/>
      <c r="AQ14" s="519"/>
      <c r="AR14" s="519"/>
      <c r="AS14" s="519"/>
      <c r="AT14" s="519"/>
      <c r="AU14" s="519"/>
      <c r="AV14" s="519"/>
      <c r="AW14" s="519"/>
      <c r="AX14" s="519"/>
      <c r="AY14" s="519"/>
      <c r="AZ14" s="519"/>
      <c r="BA14" s="519"/>
      <c r="BB14" s="519"/>
      <c r="BC14" s="519"/>
      <c r="BD14" s="519"/>
      <c r="BE14" s="519"/>
      <c r="BF14" s="519"/>
      <c r="BG14" s="519"/>
      <c r="BH14" s="519"/>
      <c r="BI14" s="519"/>
      <c r="BJ14" s="519"/>
      <c r="BK14" s="519"/>
      <c r="BL14" s="519"/>
      <c r="BM14" s="519"/>
      <c r="BN14" s="519"/>
      <c r="BO14" s="519"/>
      <c r="BP14" s="519"/>
      <c r="BQ14" s="519"/>
      <c r="BR14" s="519"/>
      <c r="BS14" s="519"/>
      <c r="BT14" s="519"/>
      <c r="BU14" s="519"/>
      <c r="BV14" s="519"/>
      <c r="BW14" s="519"/>
      <c r="BX14" s="519"/>
      <c r="BY14" s="519"/>
      <c r="BZ14" s="519"/>
      <c r="CA14" s="519"/>
      <c r="CB14" s="519"/>
      <c r="CC14" s="519"/>
      <c r="CD14" s="519"/>
      <c r="CE14" s="519"/>
      <c r="CF14" s="519"/>
      <c r="CG14" s="519"/>
      <c r="CH14" s="519"/>
      <c r="CI14" s="519"/>
      <c r="CJ14" s="519"/>
      <c r="CK14" s="519"/>
      <c r="CL14" s="519"/>
      <c r="CM14" s="519"/>
      <c r="CN14" s="519"/>
      <c r="CO14" s="519"/>
      <c r="CP14" s="519"/>
      <c r="CQ14" s="519"/>
      <c r="CR14" s="519"/>
      <c r="CS14" s="519"/>
      <c r="CT14" s="519"/>
      <c r="CU14" s="519"/>
      <c r="CV14" s="519"/>
      <c r="CW14" s="519"/>
      <c r="CX14" s="519"/>
      <c r="CY14" s="519"/>
      <c r="CZ14" s="519"/>
      <c r="DA14" s="519"/>
      <c r="DB14" s="519"/>
      <c r="DC14" s="519"/>
      <c r="DD14" s="519"/>
      <c r="DE14" s="519"/>
      <c r="DF14" s="519"/>
      <c r="DG14" s="519"/>
      <c r="DH14" s="519"/>
      <c r="DI14" s="519"/>
      <c r="DJ14" s="519"/>
      <c r="DK14" s="519"/>
      <c r="DL14" s="519"/>
      <c r="DM14" s="519"/>
      <c r="DN14" s="519"/>
      <c r="DO14" s="519"/>
      <c r="DP14" s="519"/>
      <c r="DQ14" s="519"/>
      <c r="DR14" s="519"/>
      <c r="DS14" s="519"/>
      <c r="DT14" s="519"/>
      <c r="DU14" s="519"/>
      <c r="DV14" s="519"/>
      <c r="DW14" s="519"/>
      <c r="DX14" s="519"/>
      <c r="DY14" s="519"/>
      <c r="DZ14" s="519"/>
    </row>
    <row r="15" spans="1:131 2330:2330" s="520" customFormat="1" ht="21" customHeight="1">
      <c r="A15" s="668"/>
      <c r="B15" s="668" t="s">
        <v>164</v>
      </c>
      <c r="C15" s="437" t="s">
        <v>889</v>
      </c>
      <c r="D15" s="437" t="s">
        <v>207</v>
      </c>
      <c r="E15" s="804">
        <v>43620</v>
      </c>
      <c r="F15" s="493">
        <f t="shared" si="14"/>
        <v>3</v>
      </c>
      <c r="G15" s="494">
        <f>IF(VLOOKUP(F15,'he so'!C:D,2,0)=0,0,VLOOKUP(F15,'he so'!C:D,2,0))</f>
        <v>0</v>
      </c>
      <c r="H15" s="490">
        <f t="shared" si="3"/>
        <v>3745000</v>
      </c>
      <c r="I15" s="489" t="s">
        <v>667</v>
      </c>
      <c r="J15" s="489">
        <v>1</v>
      </c>
      <c r="K15" s="495">
        <v>3745000</v>
      </c>
      <c r="L15" s="490">
        <f>VLOOKUP(I15,'thang luong moi'!B:I,'BANG LUONG 1'!J15+1,0)</f>
        <v>4213125</v>
      </c>
      <c r="M15" s="491">
        <f>VLOOKUP(C15,CC!$C$5:$AJ$67,34,0)</f>
        <v>27</v>
      </c>
      <c r="N15" s="951">
        <f t="shared" si="15"/>
        <v>4375168.269230769</v>
      </c>
      <c r="O15" s="490">
        <f>VLOOKUP(C15,CC!$C$5:$AM$67,36,0)</f>
        <v>0</v>
      </c>
      <c r="P15" s="490">
        <f>VLOOKUP(C15,CC!$C$5:$BS$67,69,0)</f>
        <v>0</v>
      </c>
      <c r="Q15" s="490">
        <f>VLOOKUP(C15,CC!$C$5:$BT$67,70,0)</f>
        <v>0</v>
      </c>
      <c r="R15" s="490">
        <f>VLOOKUP(C15,CC!$C$5:$AM$67,37,0)</f>
        <v>0</v>
      </c>
      <c r="S15" s="490">
        <f>VLOOKUP(C15,CC!$C$5:$AM$67,35,0)</f>
        <v>0</v>
      </c>
      <c r="T15" s="961">
        <f t="shared" si="16"/>
        <v>4375168.269230769</v>
      </c>
      <c r="U15" s="490">
        <f>VLOOKUP(C15,'Công tổng'!$C$53:$BY$85,75,0)-N15</f>
        <v>-4117214.423076923</v>
      </c>
      <c r="V15" s="490">
        <f t="shared" si="17"/>
        <v>0</v>
      </c>
      <c r="W15" s="951">
        <f t="shared" si="18"/>
        <v>0</v>
      </c>
      <c r="X15" s="950">
        <f>(100%-VLOOKUP(C15,'chuyên cần'!$C$7:$AP$52,40,FALSE))*$X$3</f>
        <v>300000</v>
      </c>
      <c r="Y15" s="490"/>
      <c r="Z15" s="490">
        <f t="shared" si="19"/>
        <v>300000</v>
      </c>
      <c r="AA15" s="492">
        <f t="shared" si="20"/>
        <v>557953.84615384601</v>
      </c>
      <c r="AB15" s="674">
        <f>VLOOKUP(C15,'ung luong'!C80:F126,4,0)</f>
        <v>4000000</v>
      </c>
      <c r="AC15" s="492">
        <f t="shared" si="21"/>
        <v>0</v>
      </c>
      <c r="AD15" s="492"/>
      <c r="AE15" s="674"/>
      <c r="AF15" s="492">
        <f t="shared" si="22"/>
        <v>-3442046.153846154</v>
      </c>
      <c r="AG15" s="674">
        <f>VLOOKUP(C15,CC!$C$5:$BV$50,72,0)*22000</f>
        <v>0</v>
      </c>
      <c r="AH15" s="674">
        <f>VLOOKUP(C15,CC!$C$5:$BW$50,73,0)*22000</f>
        <v>0</v>
      </c>
      <c r="AI15" s="492"/>
      <c r="AJ15" s="674">
        <f t="shared" si="23"/>
        <v>-3442000</v>
      </c>
      <c r="AK15" s="674">
        <f t="shared" si="24"/>
        <v>-3442000</v>
      </c>
      <c r="AL15" s="519"/>
      <c r="AM15" s="519"/>
      <c r="AN15" s="519"/>
      <c r="AO15" s="519"/>
      <c r="AP15" s="519"/>
      <c r="AQ15" s="519"/>
      <c r="AR15" s="519"/>
      <c r="AS15" s="519"/>
      <c r="AT15" s="519"/>
      <c r="AU15" s="519"/>
      <c r="AV15" s="519"/>
      <c r="AW15" s="519"/>
      <c r="AX15" s="519"/>
      <c r="AY15" s="519"/>
      <c r="AZ15" s="519"/>
      <c r="BA15" s="519"/>
      <c r="BB15" s="519"/>
      <c r="BC15" s="519"/>
      <c r="BD15" s="519"/>
      <c r="BE15" s="519"/>
      <c r="BF15" s="519"/>
      <c r="BG15" s="519"/>
      <c r="BH15" s="519"/>
      <c r="BI15" s="519"/>
      <c r="BJ15" s="519"/>
      <c r="BK15" s="519"/>
      <c r="BL15" s="519"/>
      <c r="BM15" s="519"/>
      <c r="BN15" s="519"/>
      <c r="BO15" s="519"/>
      <c r="BP15" s="519"/>
      <c r="BQ15" s="519"/>
      <c r="BR15" s="519"/>
      <c r="BS15" s="519"/>
      <c r="BT15" s="519"/>
      <c r="BU15" s="519"/>
      <c r="BV15" s="519"/>
      <c r="BW15" s="519"/>
      <c r="BX15" s="519"/>
      <c r="BY15" s="519"/>
      <c r="BZ15" s="519"/>
      <c r="CA15" s="519"/>
      <c r="CB15" s="519"/>
      <c r="CC15" s="519"/>
      <c r="CD15" s="519"/>
      <c r="CE15" s="519"/>
      <c r="CF15" s="519"/>
      <c r="CG15" s="519"/>
      <c r="CH15" s="519"/>
      <c r="CI15" s="519"/>
      <c r="CJ15" s="519"/>
      <c r="CK15" s="519"/>
      <c r="CL15" s="519"/>
      <c r="CM15" s="519"/>
      <c r="CN15" s="519"/>
      <c r="CO15" s="519"/>
      <c r="CP15" s="519"/>
      <c r="CQ15" s="519"/>
      <c r="CR15" s="519"/>
      <c r="CS15" s="519"/>
      <c r="CT15" s="519"/>
      <c r="CU15" s="519"/>
      <c r="CV15" s="519"/>
      <c r="CW15" s="519"/>
      <c r="CX15" s="519"/>
      <c r="CY15" s="519"/>
      <c r="CZ15" s="519"/>
      <c r="DA15" s="519"/>
      <c r="DB15" s="519"/>
      <c r="DC15" s="519"/>
      <c r="DD15" s="519"/>
      <c r="DE15" s="519"/>
      <c r="DF15" s="519"/>
      <c r="DG15" s="519"/>
      <c r="DH15" s="519"/>
      <c r="DI15" s="519"/>
      <c r="DJ15" s="519"/>
      <c r="DK15" s="519"/>
      <c r="DL15" s="519"/>
      <c r="DM15" s="519"/>
      <c r="DN15" s="519"/>
      <c r="DO15" s="519"/>
      <c r="DP15" s="519"/>
      <c r="DQ15" s="519"/>
      <c r="DR15" s="519"/>
      <c r="DS15" s="519"/>
      <c r="DT15" s="519"/>
      <c r="DU15" s="519"/>
      <c r="DV15" s="519"/>
      <c r="DW15" s="519"/>
      <c r="DX15" s="519"/>
      <c r="DY15" s="519"/>
      <c r="DZ15" s="519"/>
    </row>
    <row r="16" spans="1:131 2330:2330" s="577" customFormat="1" ht="21" customHeight="1">
      <c r="A16" s="437">
        <v>38</v>
      </c>
      <c r="B16" s="437" t="s">
        <v>155</v>
      </c>
      <c r="C16" s="437" t="s">
        <v>620</v>
      </c>
      <c r="D16" s="437" t="s">
        <v>207</v>
      </c>
      <c r="E16" s="488">
        <v>42422</v>
      </c>
      <c r="F16" s="493">
        <f>IF(IF(E16="",0,ROUND(($P$2-E16)/30,0))&lt;0,0,IF(E16="",0,ROUND(($P$2-E16)/30,0)))</f>
        <v>43</v>
      </c>
      <c r="G16" s="494">
        <f>IF(VLOOKUP(F16,'he so'!C:D,2,0)=0,0,VLOOKUP(F16,'he so'!C:D,2,0))</f>
        <v>0.03</v>
      </c>
      <c r="H16" s="490">
        <f t="shared" si="3"/>
        <v>3745000</v>
      </c>
      <c r="I16" s="489" t="s">
        <v>667</v>
      </c>
      <c r="J16" s="489">
        <v>1</v>
      </c>
      <c r="K16" s="495">
        <v>3745000</v>
      </c>
      <c r="L16" s="490">
        <f>VLOOKUP(I16,'thang luong moi'!B:I,'BANG LUONG 1'!J16+1,0)</f>
        <v>4213125</v>
      </c>
      <c r="M16" s="491">
        <f>VLOOKUP(C16,CC!$C$5:$AJ$67,34,0)</f>
        <v>27</v>
      </c>
      <c r="N16" s="951">
        <f>L16/$N$1*M16</f>
        <v>4375168.269230769</v>
      </c>
      <c r="O16" s="490">
        <f>VLOOKUP(C16,CC!$C$5:$AM$67,36,0)</f>
        <v>0</v>
      </c>
      <c r="P16" s="490">
        <f>VLOOKUP(C16,CC!$C$5:$BS$67,69,0)</f>
        <v>0</v>
      </c>
      <c r="Q16" s="490">
        <f>VLOOKUP(C16,CC!$C$5:$BT$67,70,0)</f>
        <v>0</v>
      </c>
      <c r="R16" s="490">
        <f>VLOOKUP(C16,CC!$C$5:$AM$67,37,0)</f>
        <v>0</v>
      </c>
      <c r="S16" s="490">
        <f>VLOOKUP(C16,CC!$C$5:$AM$67,35,0)</f>
        <v>0</v>
      </c>
      <c r="T16" s="961">
        <f>((L16/$N$1)*M16)+(O16*(L16/$N$1))+((P16/8)*1.5*(L16/$N$1))+((Q16/8)*2*L16/$N$1)+(S16*3*(L16/$N$1)+(L16/$N$1)*R16)</f>
        <v>4375168.269230769</v>
      </c>
      <c r="U16" s="490">
        <f>VLOOKUP(C16,'Công tổng'!$C$53:$BY$94,75,0)-N16</f>
        <v>-4117214.423076923</v>
      </c>
      <c r="V16" s="490">
        <f>+L16*G16</f>
        <v>126393.75</v>
      </c>
      <c r="W16" s="951">
        <f>(L16)*G16</f>
        <v>126393.75</v>
      </c>
      <c r="X16" s="950">
        <f>(100%-VLOOKUP(C16,'chuyên cần'!$C$7:$AP$52,40,FALSE))*$X$3</f>
        <v>300000</v>
      </c>
      <c r="Y16" s="490"/>
      <c r="Z16" s="490">
        <f>SUM(W16:Y16)</f>
        <v>426393.75</v>
      </c>
      <c r="AA16" s="492">
        <f>Z16+U16+T16</f>
        <v>684347.59615384601</v>
      </c>
      <c r="AB16" s="674">
        <f>VLOOKUP(C16,'ung luong'!C81:F123,4,0)</f>
        <v>4000000</v>
      </c>
      <c r="AC16" s="492">
        <f>AD16*$AC$2</f>
        <v>480585</v>
      </c>
      <c r="AD16" s="492">
        <v>4577000</v>
      </c>
      <c r="AE16" s="674"/>
      <c r="AF16" s="492">
        <f>AA16-AB16-AC16</f>
        <v>-3796237.403846154</v>
      </c>
      <c r="AG16" s="674">
        <f>VLOOKUP(C16,CC!$C$5:$BV$50,72,0)*22000</f>
        <v>0</v>
      </c>
      <c r="AH16" s="674">
        <f>VLOOKUP(C16,CC!$C$5:$BW$50,73,0)*22000</f>
        <v>0</v>
      </c>
      <c r="AI16" s="492"/>
      <c r="AJ16" s="492">
        <f>ROUND(AF16,-3)+AI16+AG16+AH16+AE16</f>
        <v>-3796000</v>
      </c>
      <c r="AK16" s="674">
        <f>ROUND(AF16,-3)+AE16+AH16</f>
        <v>-3796000</v>
      </c>
      <c r="AL16" s="576"/>
      <c r="AM16" s="576"/>
      <c r="AN16" s="576"/>
      <c r="AO16" s="576"/>
      <c r="AP16" s="576"/>
      <c r="AQ16" s="576"/>
      <c r="AR16" s="576"/>
      <c r="AS16" s="576"/>
      <c r="AT16" s="576"/>
      <c r="AU16" s="576"/>
      <c r="AV16" s="576"/>
      <c r="AW16" s="576"/>
      <c r="AX16" s="576"/>
      <c r="AY16" s="576"/>
      <c r="AZ16" s="576"/>
      <c r="BA16" s="576"/>
      <c r="BB16" s="576"/>
      <c r="BC16" s="576"/>
      <c r="BD16" s="576"/>
      <c r="BE16" s="576"/>
      <c r="BF16" s="576"/>
      <c r="BG16" s="576"/>
      <c r="BH16" s="576"/>
      <c r="BI16" s="576"/>
      <c r="BJ16" s="576"/>
      <c r="BK16" s="576"/>
      <c r="BL16" s="576"/>
      <c r="BM16" s="576"/>
      <c r="BN16" s="576"/>
      <c r="BO16" s="576"/>
      <c r="BP16" s="576"/>
      <c r="BQ16" s="576"/>
      <c r="BR16" s="576"/>
      <c r="BS16" s="576"/>
      <c r="BT16" s="576"/>
      <c r="BU16" s="576"/>
      <c r="BV16" s="576"/>
      <c r="BW16" s="576"/>
      <c r="BX16" s="576"/>
      <c r="BY16" s="576"/>
      <c r="BZ16" s="576"/>
      <c r="CA16" s="576"/>
      <c r="CB16" s="576"/>
      <c r="CC16" s="576"/>
      <c r="CD16" s="576"/>
      <c r="CE16" s="576"/>
      <c r="CF16" s="576"/>
      <c r="CG16" s="576"/>
      <c r="CH16" s="576"/>
      <c r="CI16" s="576"/>
      <c r="CJ16" s="576"/>
      <c r="CK16" s="576"/>
      <c r="CL16" s="576"/>
      <c r="CM16" s="576"/>
      <c r="CN16" s="576"/>
      <c r="CO16" s="576"/>
      <c r="CP16" s="576"/>
      <c r="CQ16" s="576"/>
      <c r="CR16" s="576"/>
      <c r="CS16" s="576"/>
      <c r="CT16" s="576"/>
      <c r="CU16" s="576"/>
      <c r="CV16" s="576"/>
      <c r="CW16" s="576"/>
      <c r="CX16" s="576"/>
      <c r="CY16" s="576"/>
      <c r="CZ16" s="576"/>
      <c r="DA16" s="576"/>
      <c r="DB16" s="576"/>
      <c r="DC16" s="576"/>
      <c r="DD16" s="576"/>
      <c r="DE16" s="576"/>
      <c r="DF16" s="576"/>
      <c r="DG16" s="576"/>
      <c r="DH16" s="576"/>
      <c r="DI16" s="576"/>
      <c r="DJ16" s="576"/>
      <c r="DK16" s="576"/>
      <c r="DL16" s="576"/>
      <c r="DM16" s="576"/>
      <c r="DN16" s="576"/>
      <c r="DO16" s="576"/>
      <c r="DP16" s="576"/>
      <c r="DQ16" s="576"/>
      <c r="DR16" s="576"/>
      <c r="DS16" s="576"/>
      <c r="DT16" s="576"/>
      <c r="DU16" s="576"/>
      <c r="DV16" s="576"/>
      <c r="DW16" s="576"/>
      <c r="DX16" s="576"/>
      <c r="DY16" s="576"/>
      <c r="DZ16" s="576"/>
      <c r="CKP16" s="520"/>
    </row>
    <row r="17" spans="1:131 2330:2330" s="520" customFormat="1" ht="21" customHeight="1">
      <c r="A17" s="437">
        <v>29</v>
      </c>
      <c r="B17" s="437" t="s">
        <v>146</v>
      </c>
      <c r="C17" s="437" t="s">
        <v>774</v>
      </c>
      <c r="D17" s="437" t="s">
        <v>206</v>
      </c>
      <c r="E17" s="488">
        <v>41640</v>
      </c>
      <c r="F17" s="493">
        <f>IF(IF(E17="",0,ROUND(($P$2-E17)/30,0))&lt;0,0,IF(E17="",0,ROUND(($P$2-E17)/30,0)))</f>
        <v>69</v>
      </c>
      <c r="G17" s="494">
        <f>IF(VLOOKUP(F17,'he so'!C:D,2,0)=0,0,VLOOKUP(F17,'he so'!C:D,2,0))</f>
        <v>0.05</v>
      </c>
      <c r="H17" s="490">
        <f t="shared" si="3"/>
        <v>3745000</v>
      </c>
      <c r="I17" s="489" t="s">
        <v>661</v>
      </c>
      <c r="J17" s="489">
        <v>1</v>
      </c>
      <c r="K17" s="495">
        <v>3745000</v>
      </c>
      <c r="L17" s="490">
        <f>VLOOKUP(I17,'thang luong moi'!B:I,'BANG LUONG 1'!J17+1,0)</f>
        <v>4413750</v>
      </c>
      <c r="M17" s="491">
        <f>VLOOKUP(C17,CC!$C$5:$AJ$67,34,0)</f>
        <v>27</v>
      </c>
      <c r="N17" s="951">
        <f>L17/$N$1*M17</f>
        <v>4583509.615384615</v>
      </c>
      <c r="O17" s="490">
        <f>VLOOKUP(C17,CC!$C$5:$AM$67,36,0)</f>
        <v>0</v>
      </c>
      <c r="P17" s="490">
        <f>VLOOKUP(C17,CC!$C$5:$BS$67,69,0)</f>
        <v>0</v>
      </c>
      <c r="Q17" s="490">
        <f>VLOOKUP(C17,CC!$C$5:$BT$67,70,0)</f>
        <v>0</v>
      </c>
      <c r="R17" s="490">
        <f>VLOOKUP(C17,CC!$C$5:$AM$67,37,0)</f>
        <v>0</v>
      </c>
      <c r="S17" s="490">
        <f>VLOOKUP(C17,CC!$C$5:$AM$67,35,0)</f>
        <v>0</v>
      </c>
      <c r="T17" s="961">
        <f>((L17/$N$1)*M17)+(O17*(L17/$N$1))+((P17/8)*1.5*(L17/$N$1))+((Q17/8)*2*L17/$N$1)+(S17*3*(L17/$N$1)+(L17/$N$1)*R17)</f>
        <v>4583509.615384615</v>
      </c>
      <c r="U17" s="490">
        <f>VLOOKUP(C17,'Công tổng'!$C$53:$BY$85,75,0)-N17</f>
        <v>-4325555.769230769</v>
      </c>
      <c r="V17" s="490">
        <f>+L17*G17</f>
        <v>220687.5</v>
      </c>
      <c r="W17" s="951">
        <f>(L17)*G17</f>
        <v>220687.5</v>
      </c>
      <c r="X17" s="950">
        <f>(100%-VLOOKUP(C17,'chuyên cần'!$C$7:$AP$52,40,FALSE))*$X$3</f>
        <v>300000</v>
      </c>
      <c r="Y17" s="490"/>
      <c r="Z17" s="490">
        <f>SUM(W17:Y17)</f>
        <v>520687.5</v>
      </c>
      <c r="AA17" s="492">
        <f>Z17+U17+T17</f>
        <v>778641.34615384601</v>
      </c>
      <c r="AB17" s="674">
        <f>VLOOKUP(C17,'ung luong'!C82:F147,4,0)</f>
        <v>3000000</v>
      </c>
      <c r="AC17" s="492">
        <f>AD17*$AC$2</f>
        <v>480585</v>
      </c>
      <c r="AD17" s="674">
        <v>4577000</v>
      </c>
      <c r="AE17" s="674"/>
      <c r="AF17" s="492">
        <f>AA17-AB17-AC17</f>
        <v>-2701943.653846154</v>
      </c>
      <c r="AG17" s="674">
        <f>VLOOKUP(C17,CC!$C$5:$BV$50,72,0)*22000</f>
        <v>0</v>
      </c>
      <c r="AH17" s="674">
        <f>VLOOKUP(C17,CC!$C$5:$BW$50,73,0)*22000</f>
        <v>0</v>
      </c>
      <c r="AI17" s="492"/>
      <c r="AJ17" s="492">
        <f>ROUND(AF17,-3)+AI17+AG17+AH17+AE17</f>
        <v>-2702000</v>
      </c>
      <c r="AK17" s="674">
        <f>ROUND(AF17,-3)+AE17+AH17</f>
        <v>-2702000</v>
      </c>
      <c r="AL17" s="519"/>
      <c r="AM17" s="519"/>
      <c r="AN17" s="519"/>
      <c r="AO17" s="519"/>
      <c r="AP17" s="519"/>
      <c r="AQ17" s="519"/>
      <c r="AR17" s="519"/>
      <c r="AS17" s="519"/>
      <c r="AT17" s="519"/>
      <c r="AU17" s="519"/>
      <c r="AV17" s="519"/>
      <c r="AW17" s="519"/>
      <c r="AX17" s="519"/>
      <c r="AY17" s="519"/>
      <c r="AZ17" s="519"/>
      <c r="BA17" s="519"/>
      <c r="BB17" s="519"/>
      <c r="BC17" s="519"/>
      <c r="BD17" s="519"/>
      <c r="BE17" s="519"/>
      <c r="BF17" s="519"/>
      <c r="BG17" s="519"/>
      <c r="BH17" s="519"/>
      <c r="BI17" s="519"/>
      <c r="BJ17" s="519"/>
      <c r="BK17" s="519"/>
      <c r="BL17" s="519"/>
      <c r="BM17" s="519"/>
      <c r="BN17" s="519"/>
      <c r="BO17" s="519"/>
      <c r="BP17" s="519"/>
      <c r="BQ17" s="519"/>
      <c r="BR17" s="519"/>
      <c r="BS17" s="519"/>
      <c r="BT17" s="519"/>
      <c r="BU17" s="519"/>
      <c r="BV17" s="519"/>
      <c r="BW17" s="519"/>
      <c r="BX17" s="519"/>
      <c r="BY17" s="519"/>
      <c r="BZ17" s="519"/>
      <c r="CA17" s="519"/>
      <c r="CB17" s="519"/>
      <c r="CC17" s="519"/>
      <c r="CD17" s="519"/>
      <c r="CE17" s="519"/>
      <c r="CF17" s="519"/>
      <c r="CG17" s="519"/>
      <c r="CH17" s="519"/>
      <c r="CI17" s="519"/>
      <c r="CJ17" s="519"/>
      <c r="CK17" s="519"/>
      <c r="CL17" s="519"/>
      <c r="CM17" s="519"/>
      <c r="CN17" s="519"/>
      <c r="CO17" s="519"/>
      <c r="CP17" s="519"/>
      <c r="CQ17" s="519"/>
      <c r="CR17" s="519"/>
      <c r="CS17" s="519"/>
      <c r="CT17" s="519"/>
      <c r="CU17" s="519"/>
      <c r="CV17" s="519"/>
      <c r="CW17" s="519"/>
      <c r="CX17" s="519"/>
      <c r="CY17" s="519"/>
      <c r="CZ17" s="519"/>
      <c r="DA17" s="519"/>
      <c r="DB17" s="519"/>
      <c r="DC17" s="519"/>
      <c r="DD17" s="519"/>
      <c r="DE17" s="519"/>
      <c r="DF17" s="519"/>
      <c r="DG17" s="519"/>
      <c r="DH17" s="519"/>
      <c r="DI17" s="519"/>
      <c r="DJ17" s="519"/>
      <c r="DK17" s="519"/>
      <c r="DL17" s="519"/>
      <c r="DM17" s="519"/>
      <c r="DN17" s="519"/>
      <c r="DO17" s="519"/>
      <c r="DP17" s="519"/>
      <c r="DQ17" s="519"/>
      <c r="DR17" s="519"/>
      <c r="DS17" s="519"/>
      <c r="DT17" s="519"/>
      <c r="DU17" s="519"/>
      <c r="DV17" s="519"/>
      <c r="DW17" s="519"/>
      <c r="DX17" s="519"/>
      <c r="DY17" s="519"/>
      <c r="DZ17" s="519"/>
    </row>
    <row r="18" spans="1:131 2330:2330" s="405" customFormat="1" ht="22.5" customHeight="1">
      <c r="A18" s="425" t="s">
        <v>18</v>
      </c>
      <c r="B18" s="425"/>
      <c r="C18" s="425" t="s">
        <v>736</v>
      </c>
      <c r="D18" s="425"/>
      <c r="E18" s="425"/>
      <c r="F18" s="425"/>
      <c r="G18" s="483"/>
      <c r="H18" s="484"/>
      <c r="I18" s="485"/>
      <c r="J18" s="485"/>
      <c r="K18" s="485"/>
      <c r="L18" s="485"/>
      <c r="M18" s="496"/>
      <c r="N18" s="952"/>
      <c r="O18" s="484"/>
      <c r="P18" s="484"/>
      <c r="Q18" s="484"/>
      <c r="R18" s="484"/>
      <c r="S18" s="484"/>
      <c r="T18" s="948"/>
      <c r="U18" s="487"/>
      <c r="V18" s="487"/>
      <c r="W18" s="948"/>
      <c r="X18" s="948"/>
      <c r="Y18" s="487">
        <v>0</v>
      </c>
      <c r="Z18" s="487">
        <v>0</v>
      </c>
      <c r="AA18" s="487">
        <f>SUM(AA19:AA37)</f>
        <v>9411963.75</v>
      </c>
      <c r="AB18" s="487">
        <f t="shared" ref="AB18:AJ18" si="25">SUM(AB19:AB37)</f>
        <v>52500000</v>
      </c>
      <c r="AC18" s="487">
        <f t="shared" si="25"/>
        <v>9131115</v>
      </c>
      <c r="AD18" s="487">
        <f t="shared" si="25"/>
        <v>86963000</v>
      </c>
      <c r="AE18" s="487">
        <f t="shared" si="25"/>
        <v>0</v>
      </c>
      <c r="AF18" s="487">
        <f t="shared" si="25"/>
        <v>-52219151.25</v>
      </c>
      <c r="AG18" s="487">
        <f t="shared" si="25"/>
        <v>0</v>
      </c>
      <c r="AH18" s="487">
        <f t="shared" si="25"/>
        <v>0</v>
      </c>
      <c r="AI18" s="487">
        <f t="shared" si="25"/>
        <v>0</v>
      </c>
      <c r="AJ18" s="487">
        <f t="shared" si="25"/>
        <v>-52220000</v>
      </c>
      <c r="AK18" s="487">
        <f t="shared" ref="AK18" si="26">SUM(AK19:AK37)</f>
        <v>-52220000</v>
      </c>
      <c r="AL18" s="10">
        <f>8*22.675</f>
        <v>181.4</v>
      </c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CKP18" s="520"/>
    </row>
    <row r="19" spans="1:131 2330:2330" s="520" customFormat="1" ht="21" customHeight="1">
      <c r="A19" s="437">
        <v>13</v>
      </c>
      <c r="B19" s="437" t="s">
        <v>130</v>
      </c>
      <c r="C19" s="437" t="s">
        <v>737</v>
      </c>
      <c r="D19" s="437" t="s">
        <v>206</v>
      </c>
      <c r="E19" s="488">
        <v>37622</v>
      </c>
      <c r="F19" s="493">
        <f t="shared" ref="F19:F25" si="27">IF(IF(E19="",0,ROUND(($P$2-E19)/30,0))&lt;0,0,IF(E19="",0,ROUND(($P$2-E19)/30,0)))</f>
        <v>203</v>
      </c>
      <c r="G19" s="494">
        <f>IF(VLOOKUP(F19,'he so'!C:D,2,0)=0,0,VLOOKUP(F19,'he so'!C:D,2,0))</f>
        <v>0.16</v>
      </c>
      <c r="H19" s="490">
        <f t="shared" si="3"/>
        <v>3745000</v>
      </c>
      <c r="I19" s="489" t="s">
        <v>661</v>
      </c>
      <c r="J19" s="489">
        <v>2</v>
      </c>
      <c r="K19" s="495">
        <v>4119500.0000000009</v>
      </c>
      <c r="L19" s="490">
        <f>VLOOKUP(I19,'thang luong moi'!B:I,'BANG LUONG 1'!J19+1,0)</f>
        <v>4694625.0000000009</v>
      </c>
      <c r="M19" s="491">
        <f>VLOOKUP(C19,CC!$C$5:$AJ$67,34,0)</f>
        <v>27</v>
      </c>
      <c r="N19" s="951">
        <f t="shared" ref="N19:N37" si="28">L19/$N$1*M19</f>
        <v>4875187.5000000009</v>
      </c>
      <c r="O19" s="490">
        <f>VLOOKUP(C19,CC!$C$5:$AM$67,36,0)</f>
        <v>0</v>
      </c>
      <c r="P19" s="490">
        <f>VLOOKUP(C19,CC!$C$5:$BS$67,69,0)</f>
        <v>0</v>
      </c>
      <c r="Q19" s="490">
        <f>VLOOKUP(C19,CC!$C$5:$BT$67,70,0)</f>
        <v>0</v>
      </c>
      <c r="R19" s="490">
        <f>VLOOKUP(C19,CC!$C$5:$AM$67,37,0)</f>
        <v>0</v>
      </c>
      <c r="S19" s="490">
        <f>VLOOKUP(C19,CC!$C$5:$AM$67,35,0)</f>
        <v>0</v>
      </c>
      <c r="T19" s="961">
        <f t="shared" ref="T19:T37" si="29">((L19/$N$1)*M19)+(O19*(L19/$N$1))+((P19/8)*1.5*(L19/$N$1))+((Q19/8)*2*L19/$N$1)+(S19*3*(L19/$N$1)+(L19/$N$1)*R19)</f>
        <v>4875187.5000000009</v>
      </c>
      <c r="U19" s="490">
        <f>VLOOKUP(C19,'Công tổng'!$C$53:$BY$85,75,0)-N19</f>
        <v>-4875187.5000000009</v>
      </c>
      <c r="V19" s="490">
        <f>+L19*G19</f>
        <v>751140.00000000012</v>
      </c>
      <c r="W19" s="951">
        <f t="shared" ref="W19:W37" si="30">(L19)*G19</f>
        <v>751140.00000000012</v>
      </c>
      <c r="X19" s="950">
        <f>(100%-VLOOKUP(C19,'chuyên cần'!$C$7:$AP$52,40,FALSE))*$X$3</f>
        <v>300000</v>
      </c>
      <c r="Y19" s="490"/>
      <c r="Z19" s="490">
        <f t="shared" ref="Z19:Z25" si="31">SUM(W19:Y19)</f>
        <v>1051140</v>
      </c>
      <c r="AA19" s="492">
        <f t="shared" ref="AA19:AA25" si="32">Z19+U19+T19</f>
        <v>1051140</v>
      </c>
      <c r="AB19" s="674">
        <f>VLOOKUP(C19,'ung luong'!C84:F131,4,0)</f>
        <v>4000000</v>
      </c>
      <c r="AC19" s="492">
        <f t="shared" ref="AC19:AC25" si="33">AD19*$AC$2</f>
        <v>480585</v>
      </c>
      <c r="AD19" s="492">
        <v>4577000</v>
      </c>
      <c r="AE19" s="674"/>
      <c r="AF19" s="492">
        <f t="shared" ref="AF19:AF25" si="34">AA19-AB19-AC19</f>
        <v>-3429445</v>
      </c>
      <c r="AG19" s="674">
        <f>VLOOKUP(C19,CC!$C$5:$BV$50,72,0)*22000</f>
        <v>0</v>
      </c>
      <c r="AH19" s="674">
        <f>VLOOKUP(C19,CC!$C$5:$BW$50,73,0)*22000</f>
        <v>0</v>
      </c>
      <c r="AI19" s="492"/>
      <c r="AJ19" s="492">
        <f>ROUND(AF19,-3)+AI19+AG19+AH19+AE19</f>
        <v>-3429000</v>
      </c>
      <c r="AK19" s="674">
        <f>ROUND(AF19,-3)+AE19+AH19</f>
        <v>-3429000</v>
      </c>
      <c r="AL19" s="519"/>
      <c r="AM19" s="519"/>
      <c r="AN19" s="519"/>
      <c r="AO19" s="519"/>
      <c r="AP19" s="519"/>
      <c r="AQ19" s="519"/>
      <c r="AR19" s="519"/>
      <c r="AS19" s="519"/>
      <c r="AT19" s="519"/>
      <c r="AU19" s="519"/>
      <c r="AV19" s="519"/>
      <c r="AW19" s="519"/>
      <c r="AX19" s="519"/>
      <c r="AY19" s="519"/>
      <c r="AZ19" s="519"/>
      <c r="BA19" s="519"/>
      <c r="BB19" s="519"/>
      <c r="BC19" s="519"/>
      <c r="BD19" s="519"/>
      <c r="BE19" s="519"/>
      <c r="BF19" s="519"/>
      <c r="BG19" s="519"/>
      <c r="BH19" s="519"/>
      <c r="BI19" s="519"/>
      <c r="BJ19" s="519"/>
      <c r="BK19" s="519"/>
      <c r="BL19" s="519"/>
      <c r="BM19" s="519"/>
      <c r="BN19" s="519"/>
      <c r="BO19" s="519"/>
      <c r="BP19" s="519"/>
      <c r="BQ19" s="519"/>
      <c r="BR19" s="519"/>
      <c r="BS19" s="519"/>
      <c r="BT19" s="519"/>
      <c r="BU19" s="519"/>
      <c r="BV19" s="519"/>
      <c r="BW19" s="519"/>
      <c r="BX19" s="519"/>
      <c r="BY19" s="519"/>
      <c r="BZ19" s="519"/>
      <c r="CA19" s="519"/>
      <c r="CB19" s="519"/>
      <c r="CC19" s="519"/>
      <c r="CD19" s="519"/>
      <c r="CE19" s="519"/>
      <c r="CF19" s="519"/>
      <c r="CG19" s="519"/>
      <c r="CH19" s="519"/>
      <c r="CI19" s="519"/>
      <c r="CJ19" s="519"/>
      <c r="CK19" s="519"/>
      <c r="CL19" s="519"/>
      <c r="CM19" s="519"/>
      <c r="CN19" s="519"/>
      <c r="CO19" s="519"/>
      <c r="CP19" s="519"/>
      <c r="CQ19" s="519"/>
      <c r="CR19" s="519"/>
      <c r="CS19" s="519"/>
      <c r="CT19" s="519"/>
      <c r="CU19" s="519"/>
      <c r="CV19" s="519"/>
      <c r="CW19" s="519"/>
      <c r="CX19" s="519"/>
      <c r="CY19" s="519"/>
      <c r="CZ19" s="519"/>
      <c r="DA19" s="519"/>
      <c r="DB19" s="519"/>
      <c r="DC19" s="519"/>
      <c r="DD19" s="519"/>
      <c r="DE19" s="519"/>
      <c r="DF19" s="519"/>
      <c r="DG19" s="519"/>
      <c r="DH19" s="519"/>
      <c r="DI19" s="519"/>
      <c r="DJ19" s="519"/>
      <c r="DK19" s="519"/>
      <c r="DL19" s="519"/>
      <c r="DM19" s="519"/>
      <c r="DN19" s="519"/>
      <c r="DO19" s="519"/>
      <c r="DP19" s="519"/>
      <c r="DQ19" s="519"/>
      <c r="DR19" s="519"/>
      <c r="DS19" s="519"/>
      <c r="DT19" s="519"/>
      <c r="DU19" s="519"/>
      <c r="DV19" s="519"/>
      <c r="DW19" s="519"/>
      <c r="DX19" s="519"/>
      <c r="DY19" s="519"/>
      <c r="DZ19" s="519"/>
    </row>
    <row r="20" spans="1:131 2330:2330" s="520" customFormat="1" ht="21" customHeight="1">
      <c r="A20" s="437">
        <v>14</v>
      </c>
      <c r="B20" s="437" t="s">
        <v>131</v>
      </c>
      <c r="C20" s="437" t="s">
        <v>87</v>
      </c>
      <c r="D20" s="437" t="s">
        <v>206</v>
      </c>
      <c r="E20" s="488">
        <v>41786</v>
      </c>
      <c r="F20" s="493">
        <f t="shared" si="27"/>
        <v>64</v>
      </c>
      <c r="G20" s="494">
        <f>IF(VLOOKUP(F20,'he so'!C:D,2,0)=0,0,VLOOKUP(F20,'he so'!C:D,2,0))</f>
        <v>0.05</v>
      </c>
      <c r="H20" s="490">
        <f t="shared" si="3"/>
        <v>3745000</v>
      </c>
      <c r="I20" s="489" t="s">
        <v>661</v>
      </c>
      <c r="J20" s="489">
        <v>1</v>
      </c>
      <c r="K20" s="495">
        <v>3745000</v>
      </c>
      <c r="L20" s="490">
        <f>VLOOKUP(I20,'thang luong moi'!B:I,'BANG LUONG 1'!J20+1,0)</f>
        <v>4413750</v>
      </c>
      <c r="M20" s="491">
        <f>VLOOKUP(C20,CC!$C$5:$AJ$67,34,0)</f>
        <v>27</v>
      </c>
      <c r="N20" s="951">
        <f t="shared" si="28"/>
        <v>4583509.615384615</v>
      </c>
      <c r="O20" s="490">
        <f>VLOOKUP(C20,CC!$C$5:$AM$67,36,0)</f>
        <v>0</v>
      </c>
      <c r="P20" s="490">
        <f>VLOOKUP(C20,CC!$C$5:$BS$67,69,0)</f>
        <v>0</v>
      </c>
      <c r="Q20" s="490">
        <f>VLOOKUP(C20,CC!$C$5:$BT$67,70,0)</f>
        <v>0</v>
      </c>
      <c r="R20" s="490">
        <f>VLOOKUP(C20,CC!$C$5:$AM$67,37,0)</f>
        <v>0</v>
      </c>
      <c r="S20" s="490">
        <f>VLOOKUP(C20,CC!$C$5:$AM$67,35,0)</f>
        <v>0</v>
      </c>
      <c r="T20" s="961">
        <f>((L20/$N$1)*M20)+(O20*(L20/$N$1))+((P20/8)*1.5*(L20/$N$1))+((Q20/8)*2*L20/$N$1)+(S20*3*(L20/$N$1)+(L20/$N$1)*R20)</f>
        <v>4583509.615384615</v>
      </c>
      <c r="U20" s="490">
        <f>VLOOKUP(C20,'Công tổng'!$C$53:$BY$85,75,0)-N20</f>
        <v>-4583509.615384615</v>
      </c>
      <c r="V20" s="490">
        <f t="shared" ref="V20:V26" si="35">+L20*G20</f>
        <v>220687.5</v>
      </c>
      <c r="W20" s="951">
        <f t="shared" si="30"/>
        <v>220687.5</v>
      </c>
      <c r="X20" s="950">
        <f>(100%-VLOOKUP(C20,'chuyên cần'!$C$7:$AP$52,40,FALSE))*$X$3</f>
        <v>300000</v>
      </c>
      <c r="Y20" s="490">
        <v>0</v>
      </c>
      <c r="Z20" s="490">
        <f t="shared" si="31"/>
        <v>520687.5</v>
      </c>
      <c r="AA20" s="492">
        <f>Z20+U20+T20</f>
        <v>520687.5</v>
      </c>
      <c r="AB20" s="674">
        <f>VLOOKUP(C20,'ung luong'!C85:F132,4,0)</f>
        <v>3000000</v>
      </c>
      <c r="AC20" s="492">
        <f t="shared" si="33"/>
        <v>480585</v>
      </c>
      <c r="AD20" s="492">
        <v>4577000</v>
      </c>
      <c r="AE20" s="674"/>
      <c r="AF20" s="492">
        <f t="shared" si="34"/>
        <v>-2959897.5</v>
      </c>
      <c r="AG20" s="674">
        <f>VLOOKUP(C20,CC!$C$5:$BV$50,72,0)*22000</f>
        <v>0</v>
      </c>
      <c r="AH20" s="674">
        <f>VLOOKUP(C20,CC!$C$5:$BW$50,73,0)*22000</f>
        <v>0</v>
      </c>
      <c r="AI20" s="492"/>
      <c r="AJ20" s="492">
        <f t="shared" ref="AJ20:AJ36" si="36">ROUND(AF20,-3)+AI20+AG20+AH20+AE20</f>
        <v>-2960000</v>
      </c>
      <c r="AK20" s="674">
        <f t="shared" ref="AK20:AK50" si="37">ROUND(AF20,-3)+AE20+AH20</f>
        <v>-2960000</v>
      </c>
      <c r="AL20" s="519"/>
      <c r="AM20" s="519"/>
      <c r="AN20" s="519"/>
      <c r="AO20" s="519"/>
      <c r="AP20" s="519"/>
      <c r="AQ20" s="519"/>
      <c r="AR20" s="519"/>
      <c r="AS20" s="519"/>
      <c r="AT20" s="519"/>
      <c r="AU20" s="519"/>
      <c r="AV20" s="519"/>
      <c r="AW20" s="519"/>
      <c r="AX20" s="519"/>
      <c r="AY20" s="519"/>
      <c r="AZ20" s="519"/>
      <c r="BA20" s="519"/>
      <c r="BB20" s="519"/>
      <c r="BC20" s="519"/>
      <c r="BD20" s="519"/>
      <c r="BE20" s="519"/>
      <c r="BF20" s="519"/>
      <c r="BG20" s="519"/>
      <c r="BH20" s="519"/>
      <c r="BI20" s="519"/>
      <c r="BJ20" s="519"/>
      <c r="BK20" s="519"/>
      <c r="BL20" s="519"/>
      <c r="BM20" s="519"/>
      <c r="BN20" s="519"/>
      <c r="BO20" s="519"/>
      <c r="BP20" s="519"/>
      <c r="BQ20" s="519"/>
      <c r="BR20" s="519"/>
      <c r="BS20" s="519"/>
      <c r="BT20" s="519"/>
      <c r="BU20" s="519"/>
      <c r="BV20" s="519"/>
      <c r="BW20" s="519"/>
      <c r="BX20" s="519"/>
      <c r="BY20" s="519"/>
      <c r="BZ20" s="519"/>
      <c r="CA20" s="519"/>
      <c r="CB20" s="519"/>
      <c r="CC20" s="519"/>
      <c r="CD20" s="519"/>
      <c r="CE20" s="519"/>
      <c r="CF20" s="519"/>
      <c r="CG20" s="519"/>
      <c r="CH20" s="519"/>
      <c r="CI20" s="519"/>
      <c r="CJ20" s="519"/>
      <c r="CK20" s="519"/>
      <c r="CL20" s="519"/>
      <c r="CM20" s="519"/>
      <c r="CN20" s="519"/>
      <c r="CO20" s="519"/>
      <c r="CP20" s="519"/>
      <c r="CQ20" s="519"/>
      <c r="CR20" s="519"/>
      <c r="CS20" s="519"/>
      <c r="CT20" s="519"/>
      <c r="CU20" s="519"/>
      <c r="CV20" s="519"/>
      <c r="CW20" s="519"/>
      <c r="CX20" s="519"/>
      <c r="CY20" s="519"/>
      <c r="CZ20" s="519"/>
      <c r="DA20" s="519"/>
      <c r="DB20" s="519"/>
      <c r="DC20" s="519"/>
      <c r="DD20" s="519"/>
      <c r="DE20" s="519"/>
      <c r="DF20" s="519"/>
      <c r="DG20" s="519"/>
      <c r="DH20" s="519"/>
      <c r="DI20" s="519"/>
      <c r="DJ20" s="519"/>
      <c r="DK20" s="519"/>
      <c r="DL20" s="519"/>
      <c r="DM20" s="519"/>
      <c r="DN20" s="519"/>
      <c r="DO20" s="519"/>
      <c r="DP20" s="519"/>
      <c r="DQ20" s="519"/>
      <c r="DR20" s="519"/>
      <c r="DS20" s="519"/>
      <c r="DT20" s="519"/>
      <c r="DU20" s="519"/>
      <c r="DV20" s="519"/>
      <c r="DW20" s="519"/>
      <c r="DX20" s="519"/>
      <c r="DY20" s="519"/>
      <c r="DZ20" s="519"/>
    </row>
    <row r="21" spans="1:131 2330:2330" s="520" customFormat="1" ht="21" customHeight="1">
      <c r="A21" s="437">
        <v>15</v>
      </c>
      <c r="B21" s="437" t="s">
        <v>132</v>
      </c>
      <c r="C21" s="437" t="s">
        <v>88</v>
      </c>
      <c r="D21" s="437" t="s">
        <v>206</v>
      </c>
      <c r="E21" s="488">
        <v>41876</v>
      </c>
      <c r="F21" s="493">
        <f t="shared" si="27"/>
        <v>61</v>
      </c>
      <c r="G21" s="494">
        <f>IF(VLOOKUP(F21,'he so'!C:D,2,0)=0,0,VLOOKUP(F21,'he so'!C:D,2,0))</f>
        <v>0.05</v>
      </c>
      <c r="H21" s="490">
        <f t="shared" si="3"/>
        <v>3745000</v>
      </c>
      <c r="I21" s="489" t="s">
        <v>661</v>
      </c>
      <c r="J21" s="489">
        <v>1</v>
      </c>
      <c r="K21" s="495">
        <v>3745000</v>
      </c>
      <c r="L21" s="490">
        <f>VLOOKUP(I21,'thang luong moi'!B:I,'BANG LUONG 1'!J21+1,0)</f>
        <v>4413750</v>
      </c>
      <c r="M21" s="491">
        <f>VLOOKUP(C21,CC!$C$5:$AJ$67,34,0)</f>
        <v>27</v>
      </c>
      <c r="N21" s="951">
        <f t="shared" si="28"/>
        <v>4583509.615384615</v>
      </c>
      <c r="O21" s="490">
        <f>VLOOKUP(C21,CC!$C$5:$AM$67,36,0)</f>
        <v>0</v>
      </c>
      <c r="P21" s="490">
        <f>VLOOKUP(C21,CC!$C$5:$BS$67,69,0)</f>
        <v>0</v>
      </c>
      <c r="Q21" s="490">
        <f>VLOOKUP(C21,CC!$C$5:$BT$67,70,0)</f>
        <v>0</v>
      </c>
      <c r="R21" s="490">
        <f>VLOOKUP(C21,CC!$C$5:$AM$67,37,0)</f>
        <v>0</v>
      </c>
      <c r="S21" s="490">
        <f>VLOOKUP(C21,CC!$C$5:$AM$67,35,0)</f>
        <v>0</v>
      </c>
      <c r="T21" s="961">
        <f t="shared" si="29"/>
        <v>4583509.615384615</v>
      </c>
      <c r="U21" s="490">
        <f>VLOOKUP(C21,'Công tổng'!$C$53:$BY$85,75,0)-N21</f>
        <v>-4583509.615384615</v>
      </c>
      <c r="V21" s="490">
        <f t="shared" si="35"/>
        <v>220687.5</v>
      </c>
      <c r="W21" s="951">
        <f t="shared" si="30"/>
        <v>220687.5</v>
      </c>
      <c r="X21" s="950">
        <f>(100%-VLOOKUP(C21,'chuyên cần'!$C$7:$AP$52,40,FALSE))*$X$3</f>
        <v>300000</v>
      </c>
      <c r="Y21" s="490">
        <v>0</v>
      </c>
      <c r="Z21" s="490">
        <f t="shared" si="31"/>
        <v>520687.5</v>
      </c>
      <c r="AA21" s="492">
        <f t="shared" si="32"/>
        <v>520687.5</v>
      </c>
      <c r="AB21" s="674">
        <f>VLOOKUP(C21,'ung luong'!C86:F133,4,0)</f>
        <v>0</v>
      </c>
      <c r="AC21" s="492">
        <f t="shared" si="33"/>
        <v>480585</v>
      </c>
      <c r="AD21" s="492">
        <v>4577000</v>
      </c>
      <c r="AE21" s="674"/>
      <c r="AF21" s="492">
        <f t="shared" si="34"/>
        <v>40102.5</v>
      </c>
      <c r="AG21" s="674">
        <f>VLOOKUP(C21,CC!$C$5:$BV$50,72,0)*22000</f>
        <v>0</v>
      </c>
      <c r="AH21" s="674">
        <f>VLOOKUP(C21,CC!$C$5:$BW$50,73,0)*22000</f>
        <v>0</v>
      </c>
      <c r="AI21" s="492"/>
      <c r="AJ21" s="492">
        <f t="shared" si="36"/>
        <v>40000</v>
      </c>
      <c r="AK21" s="674">
        <f t="shared" si="37"/>
        <v>40000</v>
      </c>
      <c r="AL21" s="519"/>
      <c r="AM21" s="519"/>
      <c r="AN21" s="519"/>
      <c r="AO21" s="519"/>
      <c r="AP21" s="519"/>
      <c r="AQ21" s="519"/>
      <c r="AR21" s="519"/>
      <c r="AS21" s="519"/>
      <c r="AT21" s="519"/>
      <c r="AU21" s="519"/>
      <c r="AV21" s="519"/>
      <c r="AW21" s="519"/>
      <c r="AX21" s="519"/>
      <c r="AY21" s="519"/>
      <c r="AZ21" s="519"/>
      <c r="BA21" s="519"/>
      <c r="BB21" s="519"/>
      <c r="BC21" s="519"/>
      <c r="BD21" s="519"/>
      <c r="BE21" s="519"/>
      <c r="BF21" s="519"/>
      <c r="BG21" s="519"/>
      <c r="BH21" s="519"/>
      <c r="BI21" s="519"/>
      <c r="BJ21" s="519"/>
      <c r="BK21" s="519"/>
      <c r="BL21" s="519"/>
      <c r="BM21" s="519"/>
      <c r="BN21" s="519"/>
      <c r="BO21" s="519"/>
      <c r="BP21" s="519"/>
      <c r="BQ21" s="519"/>
      <c r="BR21" s="519"/>
      <c r="BS21" s="519"/>
      <c r="BT21" s="519"/>
      <c r="BU21" s="519"/>
      <c r="BV21" s="519"/>
      <c r="BW21" s="519"/>
      <c r="BX21" s="519"/>
      <c r="BY21" s="519"/>
      <c r="BZ21" s="519"/>
      <c r="CA21" s="519"/>
      <c r="CB21" s="519"/>
      <c r="CC21" s="519"/>
      <c r="CD21" s="519"/>
      <c r="CE21" s="519"/>
      <c r="CF21" s="519"/>
      <c r="CG21" s="519"/>
      <c r="CH21" s="519"/>
      <c r="CI21" s="519"/>
      <c r="CJ21" s="519"/>
      <c r="CK21" s="519"/>
      <c r="CL21" s="519"/>
      <c r="CM21" s="519"/>
      <c r="CN21" s="519"/>
      <c r="CO21" s="519"/>
      <c r="CP21" s="519"/>
      <c r="CQ21" s="519"/>
      <c r="CR21" s="519"/>
      <c r="CS21" s="519"/>
      <c r="CT21" s="519"/>
      <c r="CU21" s="519"/>
      <c r="CV21" s="519"/>
      <c r="CW21" s="519"/>
      <c r="CX21" s="519"/>
      <c r="CY21" s="519"/>
      <c r="CZ21" s="519"/>
      <c r="DA21" s="519"/>
      <c r="DB21" s="519"/>
      <c r="DC21" s="519"/>
      <c r="DD21" s="519"/>
      <c r="DE21" s="519"/>
      <c r="DF21" s="519"/>
      <c r="DG21" s="519"/>
      <c r="DH21" s="519"/>
      <c r="DI21" s="519"/>
      <c r="DJ21" s="519"/>
      <c r="DK21" s="519"/>
      <c r="DL21" s="519"/>
      <c r="DM21" s="519"/>
      <c r="DN21" s="519"/>
      <c r="DO21" s="519"/>
      <c r="DP21" s="519"/>
      <c r="DQ21" s="519"/>
      <c r="DR21" s="519"/>
      <c r="DS21" s="519"/>
      <c r="DT21" s="519"/>
      <c r="DU21" s="519"/>
      <c r="DV21" s="519"/>
      <c r="DW21" s="519"/>
      <c r="DX21" s="519"/>
      <c r="DY21" s="519"/>
      <c r="DZ21" s="519"/>
    </row>
    <row r="22" spans="1:131 2330:2330" s="520" customFormat="1" ht="21" customHeight="1">
      <c r="A22" s="437">
        <v>16</v>
      </c>
      <c r="B22" s="437" t="s">
        <v>133</v>
      </c>
      <c r="C22" s="437" t="s">
        <v>71</v>
      </c>
      <c r="D22" s="437" t="s">
        <v>206</v>
      </c>
      <c r="E22" s="488">
        <v>41997</v>
      </c>
      <c r="F22" s="493">
        <f t="shared" si="27"/>
        <v>57</v>
      </c>
      <c r="G22" s="494">
        <f>IF(VLOOKUP(F22,'he so'!C:D,2,0)=0,0,VLOOKUP(F22,'he so'!C:D,2,0))</f>
        <v>0.04</v>
      </c>
      <c r="H22" s="490">
        <f t="shared" si="3"/>
        <v>3745000</v>
      </c>
      <c r="I22" s="489" t="s">
        <v>661</v>
      </c>
      <c r="J22" s="489">
        <v>1</v>
      </c>
      <c r="K22" s="495">
        <v>3745000</v>
      </c>
      <c r="L22" s="490">
        <f>VLOOKUP(I22,'thang luong moi'!B:I,'BANG LUONG 1'!J22+1,0)</f>
        <v>4413750</v>
      </c>
      <c r="M22" s="491">
        <f>VLOOKUP(C22,CC!$C$5:$AJ$67,34,0)</f>
        <v>27</v>
      </c>
      <c r="N22" s="951">
        <f t="shared" si="28"/>
        <v>4583509.615384615</v>
      </c>
      <c r="O22" s="490">
        <f>VLOOKUP(C22,CC!$C$5:$AM$67,36,0)</f>
        <v>0</v>
      </c>
      <c r="P22" s="490">
        <f>VLOOKUP(C22,CC!$C$5:$BS$67,69,0)</f>
        <v>0</v>
      </c>
      <c r="Q22" s="490">
        <f>VLOOKUP(C22,CC!$C$5:$BT$67,70,0)</f>
        <v>0</v>
      </c>
      <c r="R22" s="490">
        <f>VLOOKUP(C22,CC!$C$5:$AM$67,37,0)</f>
        <v>0</v>
      </c>
      <c r="S22" s="490">
        <f>VLOOKUP(C22,CC!$C$5:$AM$67,35,0)</f>
        <v>0</v>
      </c>
      <c r="T22" s="961">
        <f t="shared" si="29"/>
        <v>4583509.615384615</v>
      </c>
      <c r="U22" s="490">
        <f>VLOOKUP(C22,'Công tổng'!$C$53:$BY$85,75,0)-N22</f>
        <v>-4583509.615384615</v>
      </c>
      <c r="V22" s="490">
        <f t="shared" si="35"/>
        <v>176550</v>
      </c>
      <c r="W22" s="951">
        <f t="shared" si="30"/>
        <v>176550</v>
      </c>
      <c r="X22" s="950">
        <f>(100%-VLOOKUP(C22,'chuyên cần'!$C$7:$AP$52,40,FALSE))*$X$3</f>
        <v>300000</v>
      </c>
      <c r="Y22" s="490">
        <v>0</v>
      </c>
      <c r="Z22" s="490">
        <f t="shared" si="31"/>
        <v>476550</v>
      </c>
      <c r="AA22" s="492">
        <f t="shared" si="32"/>
        <v>476550</v>
      </c>
      <c r="AB22" s="674">
        <f>VLOOKUP(C22,'ung luong'!C87:F134,4,0)</f>
        <v>4000000</v>
      </c>
      <c r="AC22" s="492">
        <f>AD22*$AC$2</f>
        <v>480585</v>
      </c>
      <c r="AD22" s="492">
        <v>4577000</v>
      </c>
      <c r="AE22" s="674"/>
      <c r="AF22" s="492">
        <f t="shared" si="34"/>
        <v>-4004035</v>
      </c>
      <c r="AG22" s="674">
        <f>VLOOKUP(C22,CC!$C$5:$BV$50,72,0)*22000</f>
        <v>0</v>
      </c>
      <c r="AH22" s="674">
        <f>VLOOKUP(C22,CC!$C$5:$BW$50,73,0)*22000</f>
        <v>0</v>
      </c>
      <c r="AI22" s="492"/>
      <c r="AJ22" s="492">
        <f t="shared" si="36"/>
        <v>-4004000</v>
      </c>
      <c r="AK22" s="674">
        <f t="shared" si="37"/>
        <v>-4004000</v>
      </c>
      <c r="AL22" s="519">
        <f>200-34</f>
        <v>166</v>
      </c>
      <c r="AM22" s="519"/>
      <c r="AN22" s="519"/>
      <c r="AO22" s="519"/>
      <c r="AP22" s="519"/>
      <c r="AQ22" s="519"/>
      <c r="AR22" s="519"/>
      <c r="AS22" s="519"/>
      <c r="AT22" s="519"/>
      <c r="AU22" s="519"/>
      <c r="AV22" s="519"/>
      <c r="AW22" s="519"/>
      <c r="AX22" s="519"/>
      <c r="AY22" s="519"/>
      <c r="AZ22" s="519"/>
      <c r="BA22" s="519"/>
      <c r="BB22" s="519"/>
      <c r="BC22" s="519"/>
      <c r="BD22" s="519"/>
      <c r="BE22" s="519"/>
      <c r="BF22" s="519"/>
      <c r="BG22" s="519"/>
      <c r="BH22" s="519"/>
      <c r="BI22" s="519"/>
      <c r="BJ22" s="519"/>
      <c r="BK22" s="519"/>
      <c r="BL22" s="519"/>
      <c r="BM22" s="519"/>
      <c r="BN22" s="519"/>
      <c r="BO22" s="519"/>
      <c r="BP22" s="519"/>
      <c r="BQ22" s="519"/>
      <c r="BR22" s="519"/>
      <c r="BS22" s="519"/>
      <c r="BT22" s="519"/>
      <c r="BU22" s="519"/>
      <c r="BV22" s="519"/>
      <c r="BW22" s="519"/>
      <c r="BX22" s="519"/>
      <c r="BY22" s="519"/>
      <c r="BZ22" s="519"/>
      <c r="CA22" s="519"/>
      <c r="CB22" s="519"/>
      <c r="CC22" s="519"/>
      <c r="CD22" s="519"/>
      <c r="CE22" s="519"/>
      <c r="CF22" s="519"/>
      <c r="CG22" s="519"/>
      <c r="CH22" s="519"/>
      <c r="CI22" s="519"/>
      <c r="CJ22" s="519"/>
      <c r="CK22" s="519"/>
      <c r="CL22" s="519"/>
      <c r="CM22" s="519"/>
      <c r="CN22" s="519"/>
      <c r="CO22" s="519"/>
      <c r="CP22" s="519"/>
      <c r="CQ22" s="519"/>
      <c r="CR22" s="519"/>
      <c r="CS22" s="519"/>
      <c r="CT22" s="519"/>
      <c r="CU22" s="519"/>
      <c r="CV22" s="519"/>
      <c r="CW22" s="519"/>
      <c r="CX22" s="519"/>
      <c r="CY22" s="519"/>
      <c r="CZ22" s="519"/>
      <c r="DA22" s="519"/>
      <c r="DB22" s="519"/>
      <c r="DC22" s="519"/>
      <c r="DD22" s="519"/>
      <c r="DE22" s="519"/>
      <c r="DF22" s="519"/>
      <c r="DG22" s="519"/>
      <c r="DH22" s="519"/>
      <c r="DI22" s="519"/>
      <c r="DJ22" s="519"/>
      <c r="DK22" s="519"/>
      <c r="DL22" s="519"/>
      <c r="DM22" s="519"/>
      <c r="DN22" s="519"/>
      <c r="DO22" s="519"/>
      <c r="DP22" s="519"/>
      <c r="DQ22" s="519"/>
      <c r="DR22" s="519"/>
      <c r="DS22" s="519"/>
      <c r="DT22" s="519"/>
      <c r="DU22" s="519"/>
      <c r="DV22" s="519"/>
      <c r="DW22" s="519"/>
      <c r="DX22" s="519"/>
      <c r="DY22" s="519"/>
      <c r="DZ22" s="519"/>
    </row>
    <row r="23" spans="1:131 2330:2330" s="520" customFormat="1" ht="21" customHeight="1">
      <c r="A23" s="437">
        <v>18</v>
      </c>
      <c r="B23" s="437" t="s">
        <v>135</v>
      </c>
      <c r="C23" s="437" t="s">
        <v>571</v>
      </c>
      <c r="D23" s="437" t="s">
        <v>206</v>
      </c>
      <c r="E23" s="488">
        <v>42371</v>
      </c>
      <c r="F23" s="493">
        <f t="shared" si="27"/>
        <v>44</v>
      </c>
      <c r="G23" s="494">
        <f>IF(VLOOKUP(F23,'he so'!C:D,2,0)=0,0,VLOOKUP(F23,'he so'!C:D,2,0))</f>
        <v>0.03</v>
      </c>
      <c r="H23" s="490">
        <f t="shared" si="3"/>
        <v>3745000</v>
      </c>
      <c r="I23" s="489" t="s">
        <v>661</v>
      </c>
      <c r="J23" s="489">
        <v>1</v>
      </c>
      <c r="K23" s="495">
        <v>3745000</v>
      </c>
      <c r="L23" s="490">
        <f>VLOOKUP(I23,'thang luong moi'!B:I,'BANG LUONG 1'!J23+1,0)</f>
        <v>4413750</v>
      </c>
      <c r="M23" s="491">
        <f>VLOOKUP(C23,CC!$C$5:$AJ$67,34,0)</f>
        <v>27</v>
      </c>
      <c r="N23" s="951">
        <f t="shared" si="28"/>
        <v>4583509.615384615</v>
      </c>
      <c r="O23" s="490">
        <f>VLOOKUP(C23,CC!$C$5:$AM$67,36,0)</f>
        <v>0</v>
      </c>
      <c r="P23" s="490">
        <f>VLOOKUP(C23,CC!$C$5:$BS$67,69,0)</f>
        <v>0</v>
      </c>
      <c r="Q23" s="490">
        <f>VLOOKUP(C23,CC!$C$5:$BT$67,70,0)</f>
        <v>0</v>
      </c>
      <c r="R23" s="490">
        <f>VLOOKUP(C23,CC!$C$5:$AM$67,37,0)</f>
        <v>0</v>
      </c>
      <c r="S23" s="490">
        <f>VLOOKUP(C23,CC!$C$5:$AM$67,35,0)</f>
        <v>0</v>
      </c>
      <c r="T23" s="961">
        <f t="shared" si="29"/>
        <v>4583509.615384615</v>
      </c>
      <c r="U23" s="490">
        <f>VLOOKUP(C23,'Công tổng'!$C$53:$BY$85,75,0)-N23</f>
        <v>-4583509.615384615</v>
      </c>
      <c r="V23" s="490">
        <f>+L23*G23</f>
        <v>132412.5</v>
      </c>
      <c r="W23" s="951">
        <f t="shared" si="30"/>
        <v>132412.5</v>
      </c>
      <c r="X23" s="950">
        <f>(100%-VLOOKUP(C23,'chuyên cần'!$C$7:$AP$52,40,FALSE))*$X$3</f>
        <v>300000</v>
      </c>
      <c r="Y23" s="490">
        <v>0</v>
      </c>
      <c r="Z23" s="490">
        <f t="shared" si="31"/>
        <v>432412.5</v>
      </c>
      <c r="AA23" s="492">
        <f>Z23+U23+T23</f>
        <v>432412.5</v>
      </c>
      <c r="AB23" s="674">
        <f>VLOOKUP(C23,'ung luong'!C88:F136,4,0)</f>
        <v>0</v>
      </c>
      <c r="AC23" s="492">
        <f t="shared" si="33"/>
        <v>480585</v>
      </c>
      <c r="AD23" s="492">
        <v>4577000</v>
      </c>
      <c r="AE23" s="674"/>
      <c r="AF23" s="492">
        <f>AA23-AB23-AC23</f>
        <v>-48172.5</v>
      </c>
      <c r="AG23" s="674">
        <f>VLOOKUP(C23,CC!$C$5:$BV$50,72,0)*22000</f>
        <v>0</v>
      </c>
      <c r="AH23" s="674">
        <f>VLOOKUP(C23,CC!$C$5:$BW$50,73,0)*22000</f>
        <v>0</v>
      </c>
      <c r="AI23" s="492"/>
      <c r="AJ23" s="492">
        <f t="shared" si="36"/>
        <v>-48000</v>
      </c>
      <c r="AK23" s="674">
        <f t="shared" si="37"/>
        <v>-48000</v>
      </c>
      <c r="AL23" s="519"/>
      <c r="AM23" s="519"/>
      <c r="AN23" s="519"/>
      <c r="AO23" s="519"/>
      <c r="AP23" s="519"/>
      <c r="AQ23" s="519"/>
      <c r="AR23" s="519"/>
      <c r="AS23" s="519"/>
      <c r="AT23" s="519"/>
      <c r="AU23" s="519"/>
      <c r="AV23" s="519"/>
      <c r="AW23" s="519"/>
      <c r="AX23" s="519"/>
      <c r="AY23" s="519"/>
      <c r="AZ23" s="519"/>
      <c r="BA23" s="519"/>
      <c r="BB23" s="519"/>
      <c r="BC23" s="519"/>
      <c r="BD23" s="519"/>
      <c r="BE23" s="519"/>
      <c r="BF23" s="519"/>
      <c r="BG23" s="519"/>
      <c r="BH23" s="519"/>
      <c r="BI23" s="519"/>
      <c r="BJ23" s="519"/>
      <c r="BK23" s="519"/>
      <c r="BL23" s="519"/>
      <c r="BM23" s="519"/>
      <c r="BN23" s="519"/>
      <c r="BO23" s="519"/>
      <c r="BP23" s="519"/>
      <c r="BQ23" s="519"/>
      <c r="BR23" s="519"/>
      <c r="BS23" s="519"/>
      <c r="BT23" s="519"/>
      <c r="BU23" s="519"/>
      <c r="BV23" s="519"/>
      <c r="BW23" s="519"/>
      <c r="BX23" s="519"/>
      <c r="BY23" s="519"/>
      <c r="BZ23" s="519"/>
      <c r="CA23" s="519"/>
      <c r="CB23" s="519"/>
      <c r="CC23" s="519"/>
      <c r="CD23" s="519"/>
      <c r="CE23" s="519"/>
      <c r="CF23" s="519"/>
      <c r="CG23" s="519"/>
      <c r="CH23" s="519"/>
      <c r="CI23" s="519"/>
      <c r="CJ23" s="519"/>
      <c r="CK23" s="519"/>
      <c r="CL23" s="519"/>
      <c r="CM23" s="519"/>
      <c r="CN23" s="519"/>
      <c r="CO23" s="519"/>
      <c r="CP23" s="519"/>
      <c r="CQ23" s="519"/>
      <c r="CR23" s="519"/>
      <c r="CS23" s="519"/>
      <c r="CT23" s="519"/>
      <c r="CU23" s="519"/>
      <c r="CV23" s="519"/>
      <c r="CW23" s="519"/>
      <c r="CX23" s="519"/>
      <c r="CY23" s="519"/>
      <c r="CZ23" s="519"/>
      <c r="DA23" s="519"/>
      <c r="DB23" s="519"/>
      <c r="DC23" s="519"/>
      <c r="DD23" s="519"/>
      <c r="DE23" s="519"/>
      <c r="DF23" s="519"/>
      <c r="DG23" s="519"/>
      <c r="DH23" s="519"/>
      <c r="DI23" s="519"/>
      <c r="DJ23" s="519"/>
      <c r="DK23" s="519"/>
      <c r="DL23" s="519"/>
      <c r="DM23" s="519"/>
      <c r="DN23" s="519"/>
      <c r="DO23" s="519"/>
      <c r="DP23" s="519"/>
      <c r="DQ23" s="519"/>
      <c r="DR23" s="519"/>
      <c r="DS23" s="519"/>
      <c r="DT23" s="519"/>
      <c r="DU23" s="519"/>
      <c r="DV23" s="519"/>
      <c r="DW23" s="519"/>
      <c r="DX23" s="519"/>
      <c r="DY23" s="519"/>
      <c r="DZ23" s="519"/>
    </row>
    <row r="24" spans="1:131 2330:2330" s="520" customFormat="1" ht="21" customHeight="1">
      <c r="A24" s="437">
        <v>19</v>
      </c>
      <c r="B24" s="437" t="s">
        <v>136</v>
      </c>
      <c r="C24" s="437" t="s">
        <v>75</v>
      </c>
      <c r="D24" s="437" t="s">
        <v>206</v>
      </c>
      <c r="E24" s="488">
        <v>41321</v>
      </c>
      <c r="F24" s="493">
        <f t="shared" si="27"/>
        <v>79</v>
      </c>
      <c r="G24" s="494">
        <f>IF(VLOOKUP(F24,'he so'!C:D,2,0)=0,0,VLOOKUP(F24,'he so'!C:D,2,0))</f>
        <v>6.0000000000000005E-2</v>
      </c>
      <c r="H24" s="490">
        <f t="shared" si="3"/>
        <v>3745000</v>
      </c>
      <c r="I24" s="489" t="s">
        <v>661</v>
      </c>
      <c r="J24" s="489">
        <v>1</v>
      </c>
      <c r="K24" s="495">
        <v>3745000</v>
      </c>
      <c r="L24" s="490">
        <f>VLOOKUP(I24,'thang luong moi'!B:I,'BANG LUONG 1'!J24+1,0)</f>
        <v>4413750</v>
      </c>
      <c r="M24" s="491">
        <f>VLOOKUP(C24,CC!$C$5:$AJ$67,34,0)</f>
        <v>27</v>
      </c>
      <c r="N24" s="951">
        <f t="shared" si="28"/>
        <v>4583509.615384615</v>
      </c>
      <c r="O24" s="490">
        <f>VLOOKUP(C24,CC!$C$5:$AM$67,36,0)</f>
        <v>0</v>
      </c>
      <c r="P24" s="490">
        <f>VLOOKUP(C24,CC!$C$5:$BS$67,69,0)</f>
        <v>0</v>
      </c>
      <c r="Q24" s="490">
        <f>VLOOKUP(C24,CC!$C$5:$BT$67,70,0)</f>
        <v>0</v>
      </c>
      <c r="R24" s="490">
        <f>VLOOKUP(C24,CC!$C$5:$AM$67,37,0)</f>
        <v>0</v>
      </c>
      <c r="S24" s="490">
        <f>VLOOKUP(C24,CC!$C$5:$AM$67,35,0)</f>
        <v>0</v>
      </c>
      <c r="T24" s="961">
        <f t="shared" si="29"/>
        <v>4583509.615384615</v>
      </c>
      <c r="U24" s="490">
        <f>VLOOKUP(C24,'Công tổng'!$C$53:$BY$85,75,0)-N24</f>
        <v>-4583509.615384615</v>
      </c>
      <c r="V24" s="490">
        <f t="shared" si="35"/>
        <v>264825</v>
      </c>
      <c r="W24" s="951">
        <f t="shared" si="30"/>
        <v>264825</v>
      </c>
      <c r="X24" s="950">
        <f>(100%-VLOOKUP(C24,'chuyên cần'!$C$7:$AP$52,40,FALSE))*$X$3</f>
        <v>300000</v>
      </c>
      <c r="Y24" s="490"/>
      <c r="Z24" s="490">
        <f t="shared" si="31"/>
        <v>564825</v>
      </c>
      <c r="AA24" s="492">
        <f t="shared" si="32"/>
        <v>564825</v>
      </c>
      <c r="AB24" s="674">
        <f>VLOOKUP(C24,'ung luong'!C89:F137,4,0)</f>
        <v>4000000</v>
      </c>
      <c r="AC24" s="492">
        <f t="shared" si="33"/>
        <v>480585</v>
      </c>
      <c r="AD24" s="492">
        <v>4577000</v>
      </c>
      <c r="AE24" s="674"/>
      <c r="AF24" s="492">
        <f t="shared" si="34"/>
        <v>-3915760</v>
      </c>
      <c r="AG24" s="674">
        <f>VLOOKUP(C24,CC!$C$5:$BV$50,72,0)*22000</f>
        <v>0</v>
      </c>
      <c r="AH24" s="674">
        <f>VLOOKUP(C24,CC!$C$5:$BW$50,73,0)*22000</f>
        <v>0</v>
      </c>
      <c r="AI24" s="492"/>
      <c r="AJ24" s="492">
        <f t="shared" si="36"/>
        <v>-3916000</v>
      </c>
      <c r="AK24" s="674">
        <f t="shared" si="37"/>
        <v>-3916000</v>
      </c>
      <c r="AL24" s="519"/>
      <c r="AM24" s="519"/>
      <c r="AN24" s="519"/>
      <c r="AO24" s="519"/>
      <c r="AP24" s="519"/>
      <c r="AQ24" s="519"/>
      <c r="AR24" s="519"/>
      <c r="AS24" s="519"/>
      <c r="AT24" s="519"/>
      <c r="AU24" s="519"/>
      <c r="AV24" s="519"/>
      <c r="AW24" s="519"/>
      <c r="AX24" s="519"/>
      <c r="AY24" s="519"/>
      <c r="AZ24" s="519"/>
      <c r="BA24" s="519"/>
      <c r="BB24" s="519"/>
      <c r="BC24" s="519"/>
      <c r="BD24" s="519"/>
      <c r="BE24" s="519"/>
      <c r="BF24" s="519"/>
      <c r="BG24" s="519"/>
      <c r="BH24" s="519"/>
      <c r="BI24" s="519"/>
      <c r="BJ24" s="519"/>
      <c r="BK24" s="519"/>
      <c r="BL24" s="519"/>
      <c r="BM24" s="519"/>
      <c r="BN24" s="519"/>
      <c r="BO24" s="519"/>
      <c r="BP24" s="519"/>
      <c r="BQ24" s="519"/>
      <c r="BR24" s="519"/>
      <c r="BS24" s="519"/>
      <c r="BT24" s="519"/>
      <c r="BU24" s="519"/>
      <c r="BV24" s="519"/>
      <c r="BW24" s="519"/>
      <c r="BX24" s="519"/>
      <c r="BY24" s="519"/>
      <c r="BZ24" s="519"/>
      <c r="CA24" s="519"/>
      <c r="CB24" s="519"/>
      <c r="CC24" s="519"/>
      <c r="CD24" s="519"/>
      <c r="CE24" s="519"/>
      <c r="CF24" s="519"/>
      <c r="CG24" s="519"/>
      <c r="CH24" s="519"/>
      <c r="CI24" s="519"/>
      <c r="CJ24" s="519"/>
      <c r="CK24" s="519"/>
      <c r="CL24" s="519"/>
      <c r="CM24" s="519"/>
      <c r="CN24" s="519"/>
      <c r="CO24" s="519"/>
      <c r="CP24" s="519"/>
      <c r="CQ24" s="519"/>
      <c r="CR24" s="519"/>
      <c r="CS24" s="519"/>
      <c r="CT24" s="519"/>
      <c r="CU24" s="519"/>
      <c r="CV24" s="519"/>
      <c r="CW24" s="519"/>
      <c r="CX24" s="519"/>
      <c r="CY24" s="519"/>
      <c r="CZ24" s="519"/>
      <c r="DA24" s="519"/>
      <c r="DB24" s="519"/>
      <c r="DC24" s="519"/>
      <c r="DD24" s="519"/>
      <c r="DE24" s="519"/>
      <c r="DF24" s="519"/>
      <c r="DG24" s="519"/>
      <c r="DH24" s="519"/>
      <c r="DI24" s="519"/>
      <c r="DJ24" s="519"/>
      <c r="DK24" s="519"/>
      <c r="DL24" s="519"/>
      <c r="DM24" s="519"/>
      <c r="DN24" s="519"/>
      <c r="DO24" s="519"/>
      <c r="DP24" s="519"/>
      <c r="DQ24" s="519"/>
      <c r="DR24" s="519"/>
      <c r="DS24" s="519"/>
      <c r="DT24" s="519"/>
      <c r="DU24" s="519"/>
      <c r="DV24" s="519"/>
      <c r="DW24" s="519"/>
      <c r="DX24" s="519"/>
      <c r="DY24" s="519"/>
      <c r="DZ24" s="519"/>
    </row>
    <row r="25" spans="1:131 2330:2330" s="520" customFormat="1" ht="21" customHeight="1">
      <c r="A25" s="437">
        <v>20</v>
      </c>
      <c r="B25" s="437" t="s">
        <v>137</v>
      </c>
      <c r="C25" s="437" t="s">
        <v>77</v>
      </c>
      <c r="D25" s="437" t="s">
        <v>206</v>
      </c>
      <c r="E25" s="488">
        <v>41852</v>
      </c>
      <c r="F25" s="493">
        <f t="shared" si="27"/>
        <v>62</v>
      </c>
      <c r="G25" s="494">
        <f>IF(VLOOKUP(F25,'he so'!C:D,2,0)=0,0,VLOOKUP(F25,'he so'!C:D,2,0))</f>
        <v>0.05</v>
      </c>
      <c r="H25" s="490">
        <f t="shared" si="3"/>
        <v>3745000</v>
      </c>
      <c r="I25" s="489" t="s">
        <v>661</v>
      </c>
      <c r="J25" s="489">
        <v>1</v>
      </c>
      <c r="K25" s="495">
        <v>3745000</v>
      </c>
      <c r="L25" s="490">
        <f>VLOOKUP(I25,'thang luong moi'!B:I,'BANG LUONG 1'!J25+1,0)</f>
        <v>4413750</v>
      </c>
      <c r="M25" s="491">
        <f>VLOOKUP(C25,CC!$C$5:$AJ$67,34,0)</f>
        <v>27</v>
      </c>
      <c r="N25" s="951">
        <f t="shared" si="28"/>
        <v>4583509.615384615</v>
      </c>
      <c r="O25" s="490">
        <f>VLOOKUP(C25,CC!$C$5:$AM$67,36,0)</f>
        <v>0</v>
      </c>
      <c r="P25" s="490">
        <f>VLOOKUP(C25,CC!$C$5:$BS$67,69,0)</f>
        <v>0</v>
      </c>
      <c r="Q25" s="490">
        <f>VLOOKUP(C25,CC!$C$5:$BT$67,70,0)</f>
        <v>0</v>
      </c>
      <c r="R25" s="490">
        <f>VLOOKUP(C25,CC!$C$5:$AM$67,37,0)</f>
        <v>0</v>
      </c>
      <c r="S25" s="490">
        <f>VLOOKUP(C25,CC!$C$5:$AM$67,35,0)</f>
        <v>0</v>
      </c>
      <c r="T25" s="961">
        <f t="shared" si="29"/>
        <v>4583509.615384615</v>
      </c>
      <c r="U25" s="490">
        <f>VLOOKUP(C25,'Công tổng'!$C$53:$BY$85,75,0)-N25</f>
        <v>-4583509.615384615</v>
      </c>
      <c r="V25" s="490">
        <f t="shared" si="35"/>
        <v>220687.5</v>
      </c>
      <c r="W25" s="951">
        <f t="shared" si="30"/>
        <v>220687.5</v>
      </c>
      <c r="X25" s="950">
        <f>(100%-VLOOKUP(C25,'chuyên cần'!$C$7:$AP$52,40,FALSE))*$X$3</f>
        <v>300000</v>
      </c>
      <c r="Y25" s="490">
        <v>0</v>
      </c>
      <c r="Z25" s="490">
        <f t="shared" si="31"/>
        <v>520687.5</v>
      </c>
      <c r="AA25" s="492">
        <f t="shared" si="32"/>
        <v>520687.5</v>
      </c>
      <c r="AB25" s="674">
        <f>VLOOKUP(C25,'ung luong'!C90:F138,4,0)</f>
        <v>3000000</v>
      </c>
      <c r="AC25" s="492">
        <f t="shared" si="33"/>
        <v>480585</v>
      </c>
      <c r="AD25" s="492">
        <v>4577000</v>
      </c>
      <c r="AE25" s="674"/>
      <c r="AF25" s="492">
        <f t="shared" si="34"/>
        <v>-2959897.5</v>
      </c>
      <c r="AG25" s="674">
        <f>VLOOKUP(C25,CC!$C$5:$BV$50,72,0)*22000</f>
        <v>0</v>
      </c>
      <c r="AH25" s="674">
        <f>VLOOKUP(C25,CC!$C$5:$BW$50,73,0)*22000</f>
        <v>0</v>
      </c>
      <c r="AI25" s="492"/>
      <c r="AJ25" s="492">
        <f t="shared" si="36"/>
        <v>-2960000</v>
      </c>
      <c r="AK25" s="674">
        <f t="shared" si="37"/>
        <v>-2960000</v>
      </c>
      <c r="AL25" s="519"/>
      <c r="AM25" s="519"/>
      <c r="AN25" s="519"/>
      <c r="AO25" s="519"/>
      <c r="AP25" s="519"/>
      <c r="AQ25" s="519"/>
      <c r="AR25" s="519"/>
      <c r="AS25" s="519"/>
      <c r="AT25" s="519"/>
      <c r="AU25" s="519"/>
      <c r="AV25" s="519"/>
      <c r="AW25" s="519"/>
      <c r="AX25" s="519"/>
      <c r="AY25" s="519"/>
      <c r="AZ25" s="519"/>
      <c r="BA25" s="519"/>
      <c r="BB25" s="519"/>
      <c r="BC25" s="519"/>
      <c r="BD25" s="519"/>
      <c r="BE25" s="519"/>
      <c r="BF25" s="519"/>
      <c r="BG25" s="519"/>
      <c r="BH25" s="519"/>
      <c r="BI25" s="519"/>
      <c r="BJ25" s="519"/>
      <c r="BK25" s="519"/>
      <c r="BL25" s="519"/>
      <c r="BM25" s="519"/>
      <c r="BN25" s="519"/>
      <c r="BO25" s="519"/>
      <c r="BP25" s="519"/>
      <c r="BQ25" s="519"/>
      <c r="BR25" s="519"/>
      <c r="BS25" s="519"/>
      <c r="BT25" s="519"/>
      <c r="BU25" s="519"/>
      <c r="BV25" s="519"/>
      <c r="BW25" s="519"/>
      <c r="BX25" s="519"/>
      <c r="BY25" s="519"/>
      <c r="BZ25" s="519"/>
      <c r="CA25" s="519"/>
      <c r="CB25" s="519"/>
      <c r="CC25" s="519"/>
      <c r="CD25" s="519"/>
      <c r="CE25" s="519"/>
      <c r="CF25" s="519"/>
      <c r="CG25" s="519"/>
      <c r="CH25" s="519"/>
      <c r="CI25" s="519"/>
      <c r="CJ25" s="519"/>
      <c r="CK25" s="519"/>
      <c r="CL25" s="519"/>
      <c r="CM25" s="519"/>
      <c r="CN25" s="519"/>
      <c r="CO25" s="519"/>
      <c r="CP25" s="519"/>
      <c r="CQ25" s="519"/>
      <c r="CR25" s="519"/>
      <c r="CS25" s="519"/>
      <c r="CT25" s="519"/>
      <c r="CU25" s="519"/>
      <c r="CV25" s="519"/>
      <c r="CW25" s="519"/>
      <c r="CX25" s="519"/>
      <c r="CY25" s="519"/>
      <c r="CZ25" s="519"/>
      <c r="DA25" s="519"/>
      <c r="DB25" s="519"/>
      <c r="DC25" s="519"/>
      <c r="DD25" s="519"/>
      <c r="DE25" s="519"/>
      <c r="DF25" s="519"/>
      <c r="DG25" s="519"/>
      <c r="DH25" s="519"/>
      <c r="DI25" s="519"/>
      <c r="DJ25" s="519"/>
      <c r="DK25" s="519"/>
      <c r="DL25" s="519"/>
      <c r="DM25" s="519"/>
      <c r="DN25" s="519"/>
      <c r="DO25" s="519"/>
      <c r="DP25" s="519"/>
      <c r="DQ25" s="519"/>
      <c r="DR25" s="519"/>
      <c r="DS25" s="519"/>
      <c r="DT25" s="519"/>
      <c r="DU25" s="519"/>
      <c r="DV25" s="519"/>
      <c r="DW25" s="519"/>
      <c r="DX25" s="519"/>
      <c r="DY25" s="519"/>
      <c r="DZ25" s="519"/>
    </row>
    <row r="26" spans="1:131 2330:2330" s="520" customFormat="1" ht="21" customHeight="1">
      <c r="A26" s="437">
        <v>21</v>
      </c>
      <c r="B26" s="437" t="s">
        <v>138</v>
      </c>
      <c r="C26" s="437" t="s">
        <v>93</v>
      </c>
      <c r="D26" s="437" t="s">
        <v>206</v>
      </c>
      <c r="E26" s="488">
        <v>42066</v>
      </c>
      <c r="F26" s="493">
        <f t="shared" ref="F26:F32" si="38">IF(IF(E26="",0,ROUND(($P$2-E26)/30,0))&lt;0,0,IF(E26="",0,ROUND(($P$2-E26)/30,0)))</f>
        <v>55</v>
      </c>
      <c r="G26" s="494">
        <f>IF(VLOOKUP(F26,'he so'!C:D,2,0)=0,0,VLOOKUP(F26,'he so'!C:D,2,0))</f>
        <v>0.04</v>
      </c>
      <c r="H26" s="490">
        <f t="shared" si="3"/>
        <v>3745000</v>
      </c>
      <c r="I26" s="489" t="s">
        <v>661</v>
      </c>
      <c r="J26" s="489">
        <v>1</v>
      </c>
      <c r="K26" s="495">
        <v>3745000</v>
      </c>
      <c r="L26" s="490">
        <f>VLOOKUP(I26,'thang luong moi'!B:I,'BANG LUONG 1'!J26+1,0)</f>
        <v>4413750</v>
      </c>
      <c r="M26" s="491">
        <f>VLOOKUP(C26,CC!$C$5:$AJ$67,34,0)</f>
        <v>27</v>
      </c>
      <c r="N26" s="951">
        <f t="shared" si="28"/>
        <v>4583509.615384615</v>
      </c>
      <c r="O26" s="490">
        <f>VLOOKUP(C26,CC!$C$5:$AM$67,36,0)</f>
        <v>0</v>
      </c>
      <c r="P26" s="490">
        <f>VLOOKUP(C26,CC!$C$5:$BS$67,69,0)</f>
        <v>0</v>
      </c>
      <c r="Q26" s="490">
        <f>VLOOKUP(C26,CC!$C$5:$BT$67,70,0)</f>
        <v>0</v>
      </c>
      <c r="R26" s="490">
        <f>VLOOKUP(C26,CC!$C$5:$AM$67,37,0)</f>
        <v>0</v>
      </c>
      <c r="S26" s="490">
        <f>VLOOKUP(C26,CC!$C$5:$AM$67,35,0)</f>
        <v>0</v>
      </c>
      <c r="T26" s="961">
        <f t="shared" si="29"/>
        <v>4583509.615384615</v>
      </c>
      <c r="U26" s="490">
        <f>VLOOKUP(C26,'Công tổng'!$C$53:$BY$85,75,0)-N26</f>
        <v>-4583509.615384615</v>
      </c>
      <c r="V26" s="490">
        <f t="shared" si="35"/>
        <v>176550</v>
      </c>
      <c r="W26" s="951">
        <f t="shared" si="30"/>
        <v>176550</v>
      </c>
      <c r="X26" s="950">
        <f>(100%-VLOOKUP(C26,'chuyên cần'!$C$7:$AP$52,40,FALSE))*$X$3</f>
        <v>300000</v>
      </c>
      <c r="Y26" s="490"/>
      <c r="Z26" s="490">
        <f t="shared" ref="Z26:Z37" si="39">SUM(W26:Y26)</f>
        <v>476550</v>
      </c>
      <c r="AA26" s="492">
        <f t="shared" ref="AA26:AA37" si="40">Z26+U26+T26</f>
        <v>476550</v>
      </c>
      <c r="AB26" s="674">
        <f>VLOOKUP(C26,'ung luong'!C91:F139,4,0)</f>
        <v>3000000</v>
      </c>
      <c r="AC26" s="492">
        <f t="shared" ref="AC26:AC37" si="41">AD26*$AC$2</f>
        <v>480585</v>
      </c>
      <c r="AD26" s="492">
        <v>4577000</v>
      </c>
      <c r="AE26" s="674"/>
      <c r="AF26" s="492">
        <f t="shared" ref="AF26:AF37" si="42">AA26-AB26-AC26</f>
        <v>-3004035</v>
      </c>
      <c r="AG26" s="674">
        <f>VLOOKUP(C26,CC!$C$5:$BV$50,72,0)*22000</f>
        <v>0</v>
      </c>
      <c r="AH26" s="674">
        <f>VLOOKUP(C26,CC!$C$5:$BW$50,73,0)*22000</f>
        <v>0</v>
      </c>
      <c r="AI26" s="492"/>
      <c r="AJ26" s="492">
        <f t="shared" si="36"/>
        <v>-3004000</v>
      </c>
      <c r="AK26" s="674">
        <f t="shared" si="37"/>
        <v>-3004000</v>
      </c>
      <c r="AL26" s="802"/>
      <c r="AM26" s="519"/>
      <c r="AN26" s="519"/>
      <c r="AO26" s="519"/>
      <c r="AP26" s="519"/>
      <c r="AQ26" s="519"/>
      <c r="AR26" s="519"/>
      <c r="AS26" s="519"/>
      <c r="AT26" s="519"/>
      <c r="AU26" s="519"/>
      <c r="AV26" s="519"/>
      <c r="AW26" s="519"/>
      <c r="AX26" s="519"/>
      <c r="AY26" s="519"/>
      <c r="AZ26" s="519"/>
      <c r="BA26" s="519"/>
      <c r="BB26" s="519"/>
      <c r="BC26" s="519"/>
      <c r="BD26" s="519"/>
      <c r="BE26" s="519"/>
      <c r="BF26" s="519"/>
      <c r="BG26" s="519"/>
      <c r="BH26" s="519"/>
      <c r="BI26" s="519"/>
      <c r="BJ26" s="519"/>
      <c r="BK26" s="519"/>
      <c r="BL26" s="519"/>
      <c r="BM26" s="519"/>
      <c r="BN26" s="519"/>
      <c r="BO26" s="519"/>
      <c r="BP26" s="519"/>
      <c r="BQ26" s="519"/>
      <c r="BR26" s="519"/>
      <c r="BS26" s="519"/>
      <c r="BT26" s="519"/>
      <c r="BU26" s="519"/>
      <c r="BV26" s="519"/>
      <c r="BW26" s="519"/>
      <c r="BX26" s="519"/>
      <c r="BY26" s="519"/>
      <c r="BZ26" s="519"/>
      <c r="CA26" s="519"/>
      <c r="CB26" s="519"/>
      <c r="CC26" s="519"/>
      <c r="CD26" s="519"/>
      <c r="CE26" s="519"/>
      <c r="CF26" s="519"/>
      <c r="CG26" s="519"/>
      <c r="CH26" s="519"/>
      <c r="CI26" s="519"/>
      <c r="CJ26" s="519"/>
      <c r="CK26" s="519"/>
      <c r="CL26" s="519"/>
      <c r="CM26" s="519"/>
      <c r="CN26" s="519"/>
      <c r="CO26" s="519"/>
      <c r="CP26" s="519"/>
      <c r="CQ26" s="519"/>
      <c r="CR26" s="519"/>
      <c r="CS26" s="519"/>
      <c r="CT26" s="519"/>
      <c r="CU26" s="519"/>
      <c r="CV26" s="519"/>
      <c r="CW26" s="519"/>
      <c r="CX26" s="519"/>
      <c r="CY26" s="519"/>
      <c r="CZ26" s="519"/>
      <c r="DA26" s="519"/>
      <c r="DB26" s="519"/>
      <c r="DC26" s="519"/>
      <c r="DD26" s="519"/>
      <c r="DE26" s="519"/>
      <c r="DF26" s="519"/>
      <c r="DG26" s="519"/>
      <c r="DH26" s="519"/>
      <c r="DI26" s="519"/>
      <c r="DJ26" s="519"/>
      <c r="DK26" s="519"/>
      <c r="DL26" s="519"/>
      <c r="DM26" s="519"/>
      <c r="DN26" s="519"/>
      <c r="DO26" s="519"/>
      <c r="DP26" s="519"/>
      <c r="DQ26" s="519"/>
      <c r="DR26" s="519"/>
      <c r="DS26" s="519"/>
      <c r="DT26" s="519"/>
      <c r="DU26" s="519"/>
      <c r="DV26" s="519"/>
      <c r="DW26" s="519"/>
      <c r="DX26" s="519"/>
      <c r="DY26" s="519"/>
      <c r="DZ26" s="519"/>
    </row>
    <row r="27" spans="1:131 2330:2330" s="520" customFormat="1" ht="21" customHeight="1">
      <c r="A27" s="437">
        <v>22</v>
      </c>
      <c r="B27" s="437" t="s">
        <v>139</v>
      </c>
      <c r="C27" s="437" t="s">
        <v>74</v>
      </c>
      <c r="D27" s="437" t="s">
        <v>206</v>
      </c>
      <c r="E27" s="488">
        <v>37257</v>
      </c>
      <c r="F27" s="493">
        <f t="shared" si="38"/>
        <v>215</v>
      </c>
      <c r="G27" s="494">
        <f>IF(VLOOKUP(F27,'he so'!C:D,2,0)=0,0,VLOOKUP(F27,'he so'!C:D,2,0))</f>
        <v>0.17</v>
      </c>
      <c r="H27" s="490">
        <f t="shared" si="3"/>
        <v>3745000</v>
      </c>
      <c r="I27" s="489" t="s">
        <v>661</v>
      </c>
      <c r="J27" s="489">
        <v>2</v>
      </c>
      <c r="K27" s="495">
        <v>4119500.0000000009</v>
      </c>
      <c r="L27" s="490">
        <f>VLOOKUP(I27,'thang luong moi'!B:I,'BANG LUONG 1'!J27+1,0)</f>
        <v>4694625.0000000009</v>
      </c>
      <c r="M27" s="491">
        <f>VLOOKUP(C27,CC!$C$5:$AJ$67,34,0)</f>
        <v>27</v>
      </c>
      <c r="N27" s="951">
        <f t="shared" si="28"/>
        <v>4875187.5000000009</v>
      </c>
      <c r="O27" s="490">
        <f>VLOOKUP(C27,CC!$C$5:$AM$67,36,0)</f>
        <v>0</v>
      </c>
      <c r="P27" s="490">
        <f>VLOOKUP(C27,CC!$C$5:$BS$67,69,0)</f>
        <v>0</v>
      </c>
      <c r="Q27" s="490">
        <f>VLOOKUP(C27,CC!$C$5:$BT$67,70,0)</f>
        <v>0</v>
      </c>
      <c r="R27" s="490">
        <f>VLOOKUP(C27,CC!$C$5:$AM$67,37,0)</f>
        <v>0</v>
      </c>
      <c r="S27" s="490">
        <f>VLOOKUP(C27,CC!$C$5:$AM$67,35,0)</f>
        <v>0</v>
      </c>
      <c r="T27" s="961">
        <f t="shared" si="29"/>
        <v>4875187.5000000009</v>
      </c>
      <c r="U27" s="490">
        <f>VLOOKUP(C27,'Công tổng'!$C$53:$BY$85,75,0)-N27</f>
        <v>-4875187.5000000009</v>
      </c>
      <c r="V27" s="490">
        <f t="shared" ref="V27:V37" si="43">+L27*G27</f>
        <v>798086.25000000023</v>
      </c>
      <c r="W27" s="951">
        <f t="shared" si="30"/>
        <v>798086.25000000023</v>
      </c>
      <c r="X27" s="950">
        <f>(100%-VLOOKUP(C27,'chuyên cần'!$C$7:$AP$52,40,FALSE))*$X$3</f>
        <v>300000</v>
      </c>
      <c r="Y27" s="490"/>
      <c r="Z27" s="490">
        <f t="shared" si="39"/>
        <v>1098086.2500000002</v>
      </c>
      <c r="AA27" s="492">
        <f t="shared" si="40"/>
        <v>1098086.25</v>
      </c>
      <c r="AB27" s="674">
        <f>VLOOKUP(C27,'ung luong'!C92:F140,4,0)</f>
        <v>0</v>
      </c>
      <c r="AC27" s="492">
        <f t="shared" si="41"/>
        <v>480585</v>
      </c>
      <c r="AD27" s="492">
        <v>4577000</v>
      </c>
      <c r="AE27" s="674"/>
      <c r="AF27" s="492">
        <f t="shared" si="42"/>
        <v>617501.25</v>
      </c>
      <c r="AG27" s="674">
        <f>VLOOKUP(C27,CC!$C$5:$BV$50,72,0)*22000</f>
        <v>0</v>
      </c>
      <c r="AH27" s="674">
        <f>VLOOKUP(C27,CC!$C$5:$BW$50,73,0)*22000</f>
        <v>0</v>
      </c>
      <c r="AI27" s="492"/>
      <c r="AJ27" s="492">
        <f t="shared" si="36"/>
        <v>618000</v>
      </c>
      <c r="AK27" s="674">
        <f t="shared" si="37"/>
        <v>618000</v>
      </c>
      <c r="AL27" s="519"/>
      <c r="AM27" s="519"/>
      <c r="AN27" s="519"/>
      <c r="AO27" s="519"/>
      <c r="AP27" s="519"/>
      <c r="AQ27" s="519"/>
      <c r="AR27" s="519"/>
      <c r="AS27" s="519"/>
      <c r="AT27" s="519"/>
      <c r="AU27" s="519"/>
      <c r="AV27" s="519"/>
      <c r="AW27" s="519"/>
      <c r="AX27" s="519"/>
      <c r="AY27" s="519"/>
      <c r="AZ27" s="519"/>
      <c r="BA27" s="519"/>
      <c r="BB27" s="519"/>
      <c r="BC27" s="519"/>
      <c r="BD27" s="519"/>
      <c r="BE27" s="519"/>
      <c r="BF27" s="519"/>
      <c r="BG27" s="519"/>
      <c r="BH27" s="519"/>
      <c r="BI27" s="519"/>
      <c r="BJ27" s="519"/>
      <c r="BK27" s="519"/>
      <c r="BL27" s="519"/>
      <c r="BM27" s="519"/>
      <c r="BN27" s="519"/>
      <c r="BO27" s="519"/>
      <c r="BP27" s="519"/>
      <c r="BQ27" s="519"/>
      <c r="BR27" s="519"/>
      <c r="BS27" s="519"/>
      <c r="BT27" s="519"/>
      <c r="BU27" s="519"/>
      <c r="BV27" s="519"/>
      <c r="BW27" s="519"/>
      <c r="BX27" s="519"/>
      <c r="BY27" s="519"/>
      <c r="BZ27" s="519"/>
      <c r="CA27" s="519"/>
      <c r="CB27" s="519"/>
      <c r="CC27" s="519"/>
      <c r="CD27" s="519"/>
      <c r="CE27" s="519"/>
      <c r="CF27" s="519"/>
      <c r="CG27" s="519"/>
      <c r="CH27" s="519"/>
      <c r="CI27" s="519"/>
      <c r="CJ27" s="519"/>
      <c r="CK27" s="519"/>
      <c r="CL27" s="519"/>
      <c r="CM27" s="519"/>
      <c r="CN27" s="519"/>
      <c r="CO27" s="519"/>
      <c r="CP27" s="519"/>
      <c r="CQ27" s="519"/>
      <c r="CR27" s="519"/>
      <c r="CS27" s="519"/>
      <c r="CT27" s="519"/>
      <c r="CU27" s="519"/>
      <c r="CV27" s="519"/>
      <c r="CW27" s="519"/>
      <c r="CX27" s="519"/>
      <c r="CY27" s="519"/>
      <c r="CZ27" s="519"/>
      <c r="DA27" s="519"/>
      <c r="DB27" s="519"/>
      <c r="DC27" s="519"/>
      <c r="DD27" s="519"/>
      <c r="DE27" s="519"/>
      <c r="DF27" s="519"/>
      <c r="DG27" s="519"/>
      <c r="DH27" s="519"/>
      <c r="DI27" s="519"/>
      <c r="DJ27" s="519"/>
      <c r="DK27" s="519"/>
      <c r="DL27" s="519"/>
      <c r="DM27" s="519"/>
      <c r="DN27" s="519"/>
      <c r="DO27" s="519"/>
      <c r="DP27" s="519"/>
      <c r="DQ27" s="519"/>
      <c r="DR27" s="519"/>
      <c r="DS27" s="519"/>
      <c r="DT27" s="519"/>
      <c r="DU27" s="519"/>
      <c r="DV27" s="519"/>
      <c r="DW27" s="519"/>
      <c r="DX27" s="519"/>
      <c r="DY27" s="519"/>
      <c r="DZ27" s="519"/>
    </row>
    <row r="28" spans="1:131 2330:2330" s="520" customFormat="1" ht="21" customHeight="1">
      <c r="A28" s="437">
        <v>23</v>
      </c>
      <c r="B28" s="437" t="s">
        <v>140</v>
      </c>
      <c r="C28" s="437" t="s">
        <v>80</v>
      </c>
      <c r="D28" s="437" t="s">
        <v>207</v>
      </c>
      <c r="E28" s="488">
        <v>42078</v>
      </c>
      <c r="F28" s="493">
        <f t="shared" si="38"/>
        <v>54</v>
      </c>
      <c r="G28" s="494">
        <f>IF(VLOOKUP(F28,'he so'!C:D,2,0)=0,0,VLOOKUP(F28,'he so'!C:D,2,0))</f>
        <v>0.04</v>
      </c>
      <c r="H28" s="490">
        <f t="shared" si="3"/>
        <v>3745000</v>
      </c>
      <c r="I28" s="489" t="s">
        <v>661</v>
      </c>
      <c r="J28" s="489">
        <v>1</v>
      </c>
      <c r="K28" s="495">
        <v>3745000</v>
      </c>
      <c r="L28" s="490">
        <f>VLOOKUP(I28,'thang luong moi'!B:I,'BANG LUONG 1'!J28+1,0)</f>
        <v>4413750</v>
      </c>
      <c r="M28" s="491">
        <f>VLOOKUP(C28,CC!$C$5:$AJ$67,34,0)</f>
        <v>27</v>
      </c>
      <c r="N28" s="951">
        <f t="shared" si="28"/>
        <v>4583509.615384615</v>
      </c>
      <c r="O28" s="490">
        <f>VLOOKUP(C28,CC!$C$5:$AM$67,36,0)</f>
        <v>0</v>
      </c>
      <c r="P28" s="490">
        <f>VLOOKUP(C28,CC!$C$5:$BS$67,69,0)</f>
        <v>0</v>
      </c>
      <c r="Q28" s="490">
        <f>VLOOKUP(C28,CC!$C$5:$BT$67,70,0)</f>
        <v>0</v>
      </c>
      <c r="R28" s="490">
        <f>VLOOKUP(C28,CC!$C$5:$AM$67,37,0)</f>
        <v>0</v>
      </c>
      <c r="S28" s="490">
        <f>VLOOKUP(C28,CC!$C$5:$AM$67,35,0)</f>
        <v>0</v>
      </c>
      <c r="T28" s="961">
        <f t="shared" si="29"/>
        <v>4583509.615384615</v>
      </c>
      <c r="U28" s="490">
        <f>VLOOKUP(C28,'Công tổng'!$C$53:$BY$85,75,0)-N28</f>
        <v>-4583509.615384615</v>
      </c>
      <c r="V28" s="490">
        <f t="shared" si="43"/>
        <v>176550</v>
      </c>
      <c r="W28" s="951">
        <f t="shared" si="30"/>
        <v>176550</v>
      </c>
      <c r="X28" s="950">
        <f>(100%-VLOOKUP(C28,'chuyên cần'!$C$7:$AP$52,40,FALSE))*$X$3</f>
        <v>300000</v>
      </c>
      <c r="Y28" s="490"/>
      <c r="Z28" s="490">
        <f t="shared" si="39"/>
        <v>476550</v>
      </c>
      <c r="AA28" s="492">
        <f t="shared" si="40"/>
        <v>476550</v>
      </c>
      <c r="AB28" s="674">
        <f>VLOOKUP(C28,'ung luong'!C93:F141,4,0)</f>
        <v>3000000</v>
      </c>
      <c r="AC28" s="492">
        <f t="shared" si="41"/>
        <v>480585</v>
      </c>
      <c r="AD28" s="492">
        <v>4577000</v>
      </c>
      <c r="AE28" s="674"/>
      <c r="AF28" s="492">
        <f t="shared" si="42"/>
        <v>-3004035</v>
      </c>
      <c r="AG28" s="674">
        <f>VLOOKUP(C28,CC!$C$5:$BV$50,72,0)*22000</f>
        <v>0</v>
      </c>
      <c r="AH28" s="674">
        <f>VLOOKUP(C28,CC!$C$5:$BW$50,73,0)*22000</f>
        <v>0</v>
      </c>
      <c r="AI28" s="492"/>
      <c r="AJ28" s="492">
        <f t="shared" si="36"/>
        <v>-3004000</v>
      </c>
      <c r="AK28" s="674">
        <f t="shared" si="37"/>
        <v>-3004000</v>
      </c>
      <c r="AL28" s="519"/>
      <c r="AM28" s="519"/>
      <c r="AN28" s="519"/>
      <c r="AO28" s="519"/>
      <c r="AP28" s="519"/>
      <c r="AQ28" s="519"/>
      <c r="AR28" s="519"/>
      <c r="AS28" s="519"/>
      <c r="AT28" s="519"/>
      <c r="AU28" s="519"/>
      <c r="AV28" s="519"/>
      <c r="AW28" s="519"/>
      <c r="AX28" s="519"/>
      <c r="AY28" s="519"/>
      <c r="AZ28" s="519"/>
      <c r="BA28" s="519"/>
      <c r="BB28" s="519"/>
      <c r="BC28" s="519"/>
      <c r="BD28" s="519"/>
      <c r="BE28" s="519"/>
      <c r="BF28" s="519"/>
      <c r="BG28" s="519"/>
      <c r="BH28" s="519"/>
      <c r="BI28" s="519"/>
      <c r="BJ28" s="519"/>
      <c r="BK28" s="519"/>
      <c r="BL28" s="519"/>
      <c r="BM28" s="519"/>
      <c r="BN28" s="519"/>
      <c r="BO28" s="519"/>
      <c r="BP28" s="519"/>
      <c r="BQ28" s="519"/>
      <c r="BR28" s="519"/>
      <c r="BS28" s="519"/>
      <c r="BT28" s="519"/>
      <c r="BU28" s="519"/>
      <c r="BV28" s="519"/>
      <c r="BW28" s="519"/>
      <c r="BX28" s="519"/>
      <c r="BY28" s="519"/>
      <c r="BZ28" s="519"/>
      <c r="CA28" s="519"/>
      <c r="CB28" s="519"/>
      <c r="CC28" s="519"/>
      <c r="CD28" s="519"/>
      <c r="CE28" s="519"/>
      <c r="CF28" s="519"/>
      <c r="CG28" s="519"/>
      <c r="CH28" s="519"/>
      <c r="CI28" s="519"/>
      <c r="CJ28" s="519"/>
      <c r="CK28" s="519"/>
      <c r="CL28" s="519"/>
      <c r="CM28" s="519"/>
      <c r="CN28" s="519"/>
      <c r="CO28" s="519"/>
      <c r="CP28" s="519"/>
      <c r="CQ28" s="519"/>
      <c r="CR28" s="519"/>
      <c r="CS28" s="519"/>
      <c r="CT28" s="519"/>
      <c r="CU28" s="519"/>
      <c r="CV28" s="519"/>
      <c r="CW28" s="519"/>
      <c r="CX28" s="519"/>
      <c r="CY28" s="519"/>
      <c r="CZ28" s="519"/>
      <c r="DA28" s="519"/>
      <c r="DB28" s="519"/>
      <c r="DC28" s="519"/>
      <c r="DD28" s="519"/>
      <c r="DE28" s="519"/>
      <c r="DF28" s="519"/>
      <c r="DG28" s="519"/>
      <c r="DH28" s="519"/>
      <c r="DI28" s="519"/>
      <c r="DJ28" s="519"/>
      <c r="DK28" s="519"/>
      <c r="DL28" s="519"/>
      <c r="DM28" s="519"/>
      <c r="DN28" s="519"/>
      <c r="DO28" s="519"/>
      <c r="DP28" s="519"/>
      <c r="DQ28" s="519"/>
      <c r="DR28" s="519"/>
      <c r="DS28" s="519"/>
      <c r="DT28" s="519"/>
      <c r="DU28" s="519"/>
      <c r="DV28" s="519"/>
      <c r="DW28" s="519"/>
      <c r="DX28" s="519"/>
      <c r="DY28" s="519"/>
      <c r="DZ28" s="519"/>
      <c r="EA28" s="519"/>
    </row>
    <row r="29" spans="1:131 2330:2330" s="520" customFormat="1" ht="26.25" customHeight="1">
      <c r="A29" s="437">
        <v>24</v>
      </c>
      <c r="B29" s="437" t="s">
        <v>141</v>
      </c>
      <c r="C29" s="437" t="s">
        <v>763</v>
      </c>
      <c r="D29" s="437" t="s">
        <v>719</v>
      </c>
      <c r="E29" s="488">
        <v>42522</v>
      </c>
      <c r="F29" s="493">
        <f t="shared" si="38"/>
        <v>39</v>
      </c>
      <c r="G29" s="494">
        <f>IF(VLOOKUP(F29,'he so'!C:D,2,0)=0,0,VLOOKUP(F29,'he so'!C:D,2,0))</f>
        <v>0.03</v>
      </c>
      <c r="H29" s="490">
        <f t="shared" si="3"/>
        <v>3745000</v>
      </c>
      <c r="I29" s="489" t="s">
        <v>661</v>
      </c>
      <c r="J29" s="489">
        <v>1</v>
      </c>
      <c r="K29" s="495">
        <v>3745000</v>
      </c>
      <c r="L29" s="490">
        <f>VLOOKUP(I29,'thang luong moi'!B:I,'BANG LUONG 1'!J29+1,0)</f>
        <v>4413750</v>
      </c>
      <c r="M29" s="491">
        <f>VLOOKUP(C29,CC!$C$5:$AJ$67,34,0)</f>
        <v>27</v>
      </c>
      <c r="N29" s="951">
        <f t="shared" si="28"/>
        <v>4583509.615384615</v>
      </c>
      <c r="O29" s="490">
        <f>VLOOKUP(C29,CC!$C$5:$AM$67,36,0)</f>
        <v>0</v>
      </c>
      <c r="P29" s="490">
        <f>VLOOKUP(C29,CC!$C$5:$BS$67,69,0)</f>
        <v>0</v>
      </c>
      <c r="Q29" s="490">
        <f>VLOOKUP(C29,CC!$C$5:$BT$67,70,0)</f>
        <v>0</v>
      </c>
      <c r="R29" s="490">
        <f>VLOOKUP(C29,CC!$C$5:$AM$67,37,0)</f>
        <v>0</v>
      </c>
      <c r="S29" s="490">
        <f>VLOOKUP(C29,CC!$C$5:$AM$67,35,0)</f>
        <v>0</v>
      </c>
      <c r="T29" s="961">
        <f t="shared" si="29"/>
        <v>4583509.615384615</v>
      </c>
      <c r="U29" s="490">
        <f>VLOOKUP(C29,'Công tổng'!$C$53:$BY$85,75,0)-N29</f>
        <v>-4583509.615384615</v>
      </c>
      <c r="V29" s="490">
        <f t="shared" si="43"/>
        <v>132412.5</v>
      </c>
      <c r="W29" s="951">
        <f t="shared" si="30"/>
        <v>132412.5</v>
      </c>
      <c r="X29" s="950">
        <f>(100%-VLOOKUP(C29,'chuyên cần'!$C$7:$AP$52,40,FALSE))*$X$3</f>
        <v>300000</v>
      </c>
      <c r="Y29" s="490"/>
      <c r="Z29" s="490">
        <f t="shared" si="39"/>
        <v>432412.5</v>
      </c>
      <c r="AA29" s="492">
        <f t="shared" si="40"/>
        <v>432412.5</v>
      </c>
      <c r="AB29" s="674">
        <f>VLOOKUP(C29,'ung luong'!C94:F142,4,0)</f>
        <v>2000000</v>
      </c>
      <c r="AC29" s="492">
        <f t="shared" si="41"/>
        <v>480585</v>
      </c>
      <c r="AD29" s="492">
        <v>4577000</v>
      </c>
      <c r="AE29" s="674"/>
      <c r="AF29" s="492">
        <f t="shared" si="42"/>
        <v>-2048172.5</v>
      </c>
      <c r="AG29" s="674">
        <f>VLOOKUP(C29,CC!$C$5:$BV$50,72,0)*22000</f>
        <v>0</v>
      </c>
      <c r="AH29" s="674">
        <f>VLOOKUP(C29,CC!$C$5:$BW$50,73,0)*22000</f>
        <v>0</v>
      </c>
      <c r="AI29" s="492"/>
      <c r="AJ29" s="492">
        <f t="shared" si="36"/>
        <v>-2048000</v>
      </c>
      <c r="AK29" s="674">
        <f t="shared" si="37"/>
        <v>-2048000</v>
      </c>
      <c r="AL29" s="519"/>
      <c r="AM29" s="519"/>
      <c r="AN29" s="519"/>
      <c r="AO29" s="519"/>
      <c r="AP29" s="519"/>
      <c r="AQ29" s="519"/>
      <c r="AR29" s="519"/>
      <c r="AS29" s="519"/>
      <c r="AT29" s="519"/>
      <c r="AU29" s="519"/>
      <c r="AV29" s="519"/>
      <c r="AW29" s="519"/>
      <c r="AX29" s="519"/>
      <c r="AY29" s="519"/>
      <c r="AZ29" s="519"/>
      <c r="BA29" s="519"/>
      <c r="BB29" s="519"/>
      <c r="BC29" s="519"/>
      <c r="BD29" s="519"/>
      <c r="BE29" s="519"/>
      <c r="BF29" s="519"/>
      <c r="BG29" s="519"/>
      <c r="BH29" s="519"/>
      <c r="BI29" s="519"/>
      <c r="BJ29" s="519"/>
      <c r="BK29" s="519"/>
      <c r="BL29" s="519"/>
      <c r="BM29" s="519"/>
      <c r="BN29" s="519"/>
      <c r="BO29" s="519"/>
      <c r="BP29" s="519"/>
      <c r="BQ29" s="519"/>
      <c r="BR29" s="519"/>
      <c r="BS29" s="519"/>
      <c r="BT29" s="519"/>
      <c r="BU29" s="519"/>
      <c r="BV29" s="519"/>
      <c r="BW29" s="519"/>
      <c r="BX29" s="519"/>
      <c r="BY29" s="519"/>
      <c r="BZ29" s="519"/>
      <c r="CA29" s="519"/>
      <c r="CB29" s="519"/>
      <c r="CC29" s="519"/>
      <c r="CD29" s="519"/>
      <c r="CE29" s="519"/>
      <c r="CF29" s="519"/>
      <c r="CG29" s="519"/>
      <c r="CH29" s="519"/>
      <c r="CI29" s="519"/>
      <c r="CJ29" s="519"/>
      <c r="CK29" s="519"/>
      <c r="CL29" s="519"/>
      <c r="CM29" s="519"/>
      <c r="CN29" s="519"/>
      <c r="CO29" s="519"/>
      <c r="CP29" s="519"/>
      <c r="CQ29" s="519"/>
      <c r="CR29" s="519"/>
      <c r="CS29" s="519"/>
      <c r="CT29" s="519"/>
      <c r="CU29" s="519"/>
      <c r="CV29" s="519"/>
      <c r="CW29" s="519"/>
      <c r="CX29" s="519"/>
      <c r="CY29" s="519"/>
      <c r="CZ29" s="519"/>
      <c r="DA29" s="519"/>
      <c r="DB29" s="519"/>
      <c r="DC29" s="519"/>
      <c r="DD29" s="519"/>
      <c r="DE29" s="519"/>
      <c r="DF29" s="519"/>
      <c r="DG29" s="519"/>
      <c r="DH29" s="519"/>
      <c r="DI29" s="519"/>
      <c r="DJ29" s="519"/>
      <c r="DK29" s="519"/>
      <c r="DL29" s="519"/>
      <c r="DM29" s="519"/>
      <c r="DN29" s="519"/>
      <c r="DO29" s="519"/>
      <c r="DP29" s="519"/>
      <c r="DQ29" s="519"/>
      <c r="DR29" s="519"/>
      <c r="DS29" s="519"/>
      <c r="DT29" s="519"/>
      <c r="DU29" s="519"/>
      <c r="DV29" s="519"/>
      <c r="DW29" s="519"/>
      <c r="DX29" s="519"/>
      <c r="DY29" s="519"/>
      <c r="DZ29" s="519"/>
    </row>
    <row r="30" spans="1:131 2330:2330" s="520" customFormat="1" ht="26.25" customHeight="1">
      <c r="A30" s="437">
        <v>25</v>
      </c>
      <c r="B30" s="437" t="s">
        <v>142</v>
      </c>
      <c r="C30" s="437" t="s">
        <v>788</v>
      </c>
      <c r="D30" s="437" t="s">
        <v>206</v>
      </c>
      <c r="E30" s="488">
        <v>43248</v>
      </c>
      <c r="F30" s="493">
        <f t="shared" si="38"/>
        <v>15</v>
      </c>
      <c r="G30" s="494">
        <f>IF(VLOOKUP(F30,'he so'!C:D,2,0)=0,0,VLOOKUP(F30,'he so'!C:D,2,0))</f>
        <v>0</v>
      </c>
      <c r="H30" s="490">
        <f t="shared" si="3"/>
        <v>3745000</v>
      </c>
      <c r="I30" s="489" t="s">
        <v>661</v>
      </c>
      <c r="J30" s="489">
        <v>1</v>
      </c>
      <c r="K30" s="495">
        <v>3745000</v>
      </c>
      <c r="L30" s="490">
        <f>VLOOKUP(I30,'thang luong moi'!B:I,'BANG LUONG 1'!J30+1,0)</f>
        <v>4413750</v>
      </c>
      <c r="M30" s="491">
        <f>VLOOKUP(C30,CC!$C$5:$AJ$67,34,0)</f>
        <v>27</v>
      </c>
      <c r="N30" s="951">
        <f t="shared" si="28"/>
        <v>4583509.615384615</v>
      </c>
      <c r="O30" s="490">
        <f>VLOOKUP(C30,CC!$C$5:$AM$67,36,0)</f>
        <v>0</v>
      </c>
      <c r="P30" s="490">
        <f>VLOOKUP(C30,CC!$C$5:$BS$67,69,0)</f>
        <v>0</v>
      </c>
      <c r="Q30" s="490">
        <f>VLOOKUP(C30,CC!$C$5:$BT$67,70,0)</f>
        <v>0</v>
      </c>
      <c r="R30" s="490">
        <f>VLOOKUP(C30,CC!$C$5:$AM$67,37,0)</f>
        <v>0</v>
      </c>
      <c r="S30" s="490">
        <f>VLOOKUP(C30,CC!$C$5:$AM$67,35,0)</f>
        <v>0</v>
      </c>
      <c r="T30" s="961">
        <f t="shared" si="29"/>
        <v>4583509.615384615</v>
      </c>
      <c r="U30" s="490">
        <f>VLOOKUP(C30,'Công tổng'!$C$53:$BY$85,75,0)-N30</f>
        <v>-4583509.615384615</v>
      </c>
      <c r="V30" s="490">
        <f t="shared" si="43"/>
        <v>0</v>
      </c>
      <c r="W30" s="951">
        <f t="shared" si="30"/>
        <v>0</v>
      </c>
      <c r="X30" s="950">
        <f>(100%-VLOOKUP(C30,'chuyên cần'!$C$7:$AP$52,40,FALSE))*$X$3</f>
        <v>300000</v>
      </c>
      <c r="Y30" s="490"/>
      <c r="Z30" s="490">
        <f t="shared" si="39"/>
        <v>300000</v>
      </c>
      <c r="AA30" s="492">
        <f t="shared" si="40"/>
        <v>300000</v>
      </c>
      <c r="AB30" s="674">
        <f>VLOOKUP(C30,'ung luong'!C95:F143,4,0)</f>
        <v>4000000</v>
      </c>
      <c r="AC30" s="492">
        <f t="shared" si="41"/>
        <v>480585</v>
      </c>
      <c r="AD30" s="492">
        <v>4577000</v>
      </c>
      <c r="AE30" s="674"/>
      <c r="AF30" s="492">
        <f t="shared" si="42"/>
        <v>-4180585</v>
      </c>
      <c r="AG30" s="674">
        <f>VLOOKUP(C30,CC!$C$5:$BV$50,72,0)*22000</f>
        <v>0</v>
      </c>
      <c r="AH30" s="674">
        <f>VLOOKUP(C30,CC!$C$5:$BW$50,73,0)*22000</f>
        <v>0</v>
      </c>
      <c r="AI30" s="492"/>
      <c r="AJ30" s="492">
        <f t="shared" si="36"/>
        <v>-4181000</v>
      </c>
      <c r="AK30" s="674">
        <f t="shared" si="37"/>
        <v>-4181000</v>
      </c>
      <c r="AL30" s="519"/>
      <c r="AM30" s="519"/>
      <c r="AN30" s="519"/>
      <c r="AO30" s="519"/>
      <c r="AP30" s="519"/>
      <c r="AQ30" s="519"/>
      <c r="AR30" s="519"/>
      <c r="AS30" s="519"/>
      <c r="AT30" s="519"/>
      <c r="AU30" s="519"/>
      <c r="AV30" s="519"/>
      <c r="AW30" s="519"/>
      <c r="AX30" s="519"/>
      <c r="AY30" s="519"/>
      <c r="AZ30" s="519"/>
      <c r="BA30" s="519"/>
      <c r="BB30" s="519"/>
      <c r="BC30" s="519"/>
      <c r="BD30" s="519"/>
      <c r="BE30" s="519"/>
      <c r="BF30" s="519"/>
      <c r="BG30" s="519"/>
      <c r="BH30" s="519"/>
      <c r="BI30" s="519"/>
      <c r="BJ30" s="519"/>
      <c r="BK30" s="519"/>
      <c r="BL30" s="519"/>
      <c r="BM30" s="519"/>
      <c r="BN30" s="519"/>
      <c r="BO30" s="519"/>
      <c r="BP30" s="519"/>
      <c r="BQ30" s="519"/>
      <c r="BR30" s="519"/>
      <c r="BS30" s="519"/>
      <c r="BT30" s="519"/>
      <c r="BU30" s="519"/>
      <c r="BV30" s="519"/>
      <c r="BW30" s="519"/>
      <c r="BX30" s="519"/>
      <c r="BY30" s="519"/>
      <c r="BZ30" s="519"/>
      <c r="CA30" s="519"/>
      <c r="CB30" s="519"/>
      <c r="CC30" s="519"/>
      <c r="CD30" s="519"/>
      <c r="CE30" s="519"/>
      <c r="CF30" s="519"/>
      <c r="CG30" s="519"/>
      <c r="CH30" s="519"/>
      <c r="CI30" s="519"/>
      <c r="CJ30" s="519"/>
      <c r="CK30" s="519"/>
      <c r="CL30" s="519"/>
      <c r="CM30" s="519"/>
      <c r="CN30" s="519"/>
      <c r="CO30" s="519"/>
      <c r="CP30" s="519"/>
      <c r="CQ30" s="519"/>
      <c r="CR30" s="519"/>
      <c r="CS30" s="519"/>
      <c r="CT30" s="519"/>
      <c r="CU30" s="519"/>
      <c r="CV30" s="519"/>
      <c r="CW30" s="519"/>
      <c r="CX30" s="519"/>
      <c r="CY30" s="519"/>
      <c r="CZ30" s="519"/>
      <c r="DA30" s="519"/>
      <c r="DB30" s="519"/>
      <c r="DC30" s="519"/>
      <c r="DD30" s="519"/>
      <c r="DE30" s="519"/>
      <c r="DF30" s="519"/>
      <c r="DG30" s="519"/>
      <c r="DH30" s="519"/>
      <c r="DI30" s="519"/>
      <c r="DJ30" s="519"/>
      <c r="DK30" s="519"/>
      <c r="DL30" s="519"/>
      <c r="DM30" s="519"/>
      <c r="DN30" s="519"/>
      <c r="DO30" s="519"/>
      <c r="DP30" s="519"/>
      <c r="DQ30" s="519"/>
      <c r="DR30" s="519"/>
      <c r="DS30" s="519"/>
      <c r="DT30" s="519"/>
      <c r="DU30" s="519"/>
      <c r="DV30" s="519"/>
      <c r="DW30" s="519"/>
      <c r="DX30" s="519"/>
      <c r="DY30" s="519"/>
      <c r="DZ30" s="519"/>
    </row>
    <row r="31" spans="1:131 2330:2330" s="520" customFormat="1" ht="26.25" customHeight="1">
      <c r="A31" s="437">
        <v>26</v>
      </c>
      <c r="B31" s="437" t="s">
        <v>143</v>
      </c>
      <c r="C31" s="437" t="s">
        <v>789</v>
      </c>
      <c r="D31" s="437" t="s">
        <v>206</v>
      </c>
      <c r="E31" s="488">
        <v>43248</v>
      </c>
      <c r="F31" s="493">
        <f t="shared" si="38"/>
        <v>15</v>
      </c>
      <c r="G31" s="494">
        <f>IF(VLOOKUP(F31,'he so'!C:D,2,0)=0,0,VLOOKUP(F31,'he so'!C:D,2,0))</f>
        <v>0</v>
      </c>
      <c r="H31" s="490">
        <f t="shared" si="3"/>
        <v>3745000</v>
      </c>
      <c r="I31" s="489" t="s">
        <v>661</v>
      </c>
      <c r="J31" s="489">
        <v>1</v>
      </c>
      <c r="K31" s="495">
        <v>3745000</v>
      </c>
      <c r="L31" s="490">
        <f>VLOOKUP(I31,'thang luong moi'!B:I,'BANG LUONG 1'!J31+1,0)</f>
        <v>4413750</v>
      </c>
      <c r="M31" s="491">
        <f>VLOOKUP(C31,CC!$C$5:$AJ$67,34,0)</f>
        <v>27</v>
      </c>
      <c r="N31" s="951">
        <f t="shared" si="28"/>
        <v>4583509.615384615</v>
      </c>
      <c r="O31" s="490">
        <f>VLOOKUP(C31,CC!$C$5:$AM$67,36,0)</f>
        <v>0</v>
      </c>
      <c r="P31" s="490">
        <f>VLOOKUP(C31,CC!$C$5:$BS$67,69,0)</f>
        <v>0</v>
      </c>
      <c r="Q31" s="490">
        <f>VLOOKUP(C31,CC!$C$5:$BT$67,70,0)</f>
        <v>0</v>
      </c>
      <c r="R31" s="490">
        <f>VLOOKUP(C31,CC!$C$5:$AM$67,37,0)</f>
        <v>0</v>
      </c>
      <c r="S31" s="490">
        <f>VLOOKUP(C31,CC!$C$5:$AM$67,35,0)</f>
        <v>0</v>
      </c>
      <c r="T31" s="961">
        <f t="shared" si="29"/>
        <v>4583509.615384615</v>
      </c>
      <c r="U31" s="490">
        <f>VLOOKUP(C31,'Công tổng'!$C$53:$BY$85,75,0)-N31</f>
        <v>-4583509.615384615</v>
      </c>
      <c r="V31" s="490">
        <f t="shared" si="43"/>
        <v>0</v>
      </c>
      <c r="W31" s="951">
        <f t="shared" si="30"/>
        <v>0</v>
      </c>
      <c r="X31" s="950">
        <f>(100%-VLOOKUP(C31,'chuyên cần'!$C$7:$AP$52,40,FALSE))*$X$3</f>
        <v>300000</v>
      </c>
      <c r="Y31" s="490"/>
      <c r="Z31" s="490">
        <f t="shared" si="39"/>
        <v>300000</v>
      </c>
      <c r="AA31" s="492">
        <f t="shared" si="40"/>
        <v>300000</v>
      </c>
      <c r="AB31" s="674">
        <f>VLOOKUP(C31,'ung luong'!C96:F144,4,0)</f>
        <v>4000000</v>
      </c>
      <c r="AC31" s="492">
        <f t="shared" si="41"/>
        <v>480585</v>
      </c>
      <c r="AD31" s="492">
        <v>4577000</v>
      </c>
      <c r="AE31" s="674"/>
      <c r="AF31" s="492">
        <f t="shared" si="42"/>
        <v>-4180585</v>
      </c>
      <c r="AG31" s="674">
        <f>VLOOKUP(C31,CC!$C$5:$BV$50,72,0)*22000</f>
        <v>0</v>
      </c>
      <c r="AH31" s="674">
        <f>VLOOKUP(C31,CC!$C$5:$BW$50,73,0)*22000</f>
        <v>0</v>
      </c>
      <c r="AI31" s="492"/>
      <c r="AJ31" s="492">
        <f t="shared" si="36"/>
        <v>-4181000</v>
      </c>
      <c r="AK31" s="674">
        <f t="shared" si="37"/>
        <v>-4181000</v>
      </c>
      <c r="AL31" s="519"/>
      <c r="AM31" s="519"/>
      <c r="AN31" s="519"/>
      <c r="AO31" s="519"/>
      <c r="AP31" s="519"/>
      <c r="AQ31" s="519"/>
      <c r="AR31" s="519"/>
      <c r="AS31" s="519"/>
      <c r="AT31" s="519"/>
      <c r="AU31" s="519"/>
      <c r="AV31" s="519"/>
      <c r="AW31" s="519"/>
      <c r="AX31" s="519"/>
      <c r="AY31" s="519"/>
      <c r="AZ31" s="519"/>
      <c r="BA31" s="519"/>
      <c r="BB31" s="519"/>
      <c r="BC31" s="519"/>
      <c r="BD31" s="519"/>
      <c r="BE31" s="519"/>
      <c r="BF31" s="519"/>
      <c r="BG31" s="519"/>
      <c r="BH31" s="519"/>
      <c r="BI31" s="519"/>
      <c r="BJ31" s="519"/>
      <c r="BK31" s="519"/>
      <c r="BL31" s="519"/>
      <c r="BM31" s="519"/>
      <c r="BN31" s="519"/>
      <c r="BO31" s="519"/>
      <c r="BP31" s="519"/>
      <c r="BQ31" s="519"/>
      <c r="BR31" s="519"/>
      <c r="BS31" s="519"/>
      <c r="BT31" s="519"/>
      <c r="BU31" s="519"/>
      <c r="BV31" s="519"/>
      <c r="BW31" s="519"/>
      <c r="BX31" s="519"/>
      <c r="BY31" s="519"/>
      <c r="BZ31" s="519"/>
      <c r="CA31" s="519"/>
      <c r="CB31" s="519"/>
      <c r="CC31" s="519"/>
      <c r="CD31" s="519"/>
      <c r="CE31" s="519"/>
      <c r="CF31" s="519"/>
      <c r="CG31" s="519"/>
      <c r="CH31" s="519"/>
      <c r="CI31" s="519"/>
      <c r="CJ31" s="519"/>
      <c r="CK31" s="519"/>
      <c r="CL31" s="519"/>
      <c r="CM31" s="519"/>
      <c r="CN31" s="519"/>
      <c r="CO31" s="519"/>
      <c r="CP31" s="519"/>
      <c r="CQ31" s="519"/>
      <c r="CR31" s="519"/>
      <c r="CS31" s="519"/>
      <c r="CT31" s="519"/>
      <c r="CU31" s="519"/>
      <c r="CV31" s="519"/>
      <c r="CW31" s="519"/>
      <c r="CX31" s="519"/>
      <c r="CY31" s="519"/>
      <c r="CZ31" s="519"/>
      <c r="DA31" s="519"/>
      <c r="DB31" s="519"/>
      <c r="DC31" s="519"/>
      <c r="DD31" s="519"/>
      <c r="DE31" s="519"/>
      <c r="DF31" s="519"/>
      <c r="DG31" s="519"/>
      <c r="DH31" s="519"/>
      <c r="DI31" s="519"/>
      <c r="DJ31" s="519"/>
      <c r="DK31" s="519"/>
      <c r="DL31" s="519"/>
      <c r="DM31" s="519"/>
      <c r="DN31" s="519"/>
      <c r="DO31" s="519"/>
      <c r="DP31" s="519"/>
      <c r="DQ31" s="519"/>
      <c r="DR31" s="519"/>
      <c r="DS31" s="519"/>
      <c r="DT31" s="519"/>
      <c r="DU31" s="519"/>
      <c r="DV31" s="519"/>
      <c r="DW31" s="519"/>
      <c r="DX31" s="519"/>
      <c r="DY31" s="519"/>
      <c r="DZ31" s="519"/>
    </row>
    <row r="32" spans="1:131 2330:2330" s="520" customFormat="1" ht="26.25" customHeight="1">
      <c r="A32" s="437">
        <v>27</v>
      </c>
      <c r="B32" s="437" t="s">
        <v>144</v>
      </c>
      <c r="C32" s="437" t="s">
        <v>42</v>
      </c>
      <c r="D32" s="437" t="s">
        <v>206</v>
      </c>
      <c r="E32" s="488">
        <v>43246</v>
      </c>
      <c r="F32" s="493">
        <f t="shared" si="38"/>
        <v>15</v>
      </c>
      <c r="G32" s="494">
        <f>IF(VLOOKUP(F32,'he so'!C:D,2,0)=0,0,VLOOKUP(F32,'he so'!C:D,2,0))</f>
        <v>0</v>
      </c>
      <c r="H32" s="490">
        <f t="shared" si="3"/>
        <v>3745000</v>
      </c>
      <c r="I32" s="489" t="s">
        <v>661</v>
      </c>
      <c r="J32" s="489">
        <v>1</v>
      </c>
      <c r="K32" s="495">
        <v>3745000</v>
      </c>
      <c r="L32" s="490">
        <f>VLOOKUP(I32,'thang luong moi'!B:I,'BANG LUONG 1'!J32+1,0)</f>
        <v>4413750</v>
      </c>
      <c r="M32" s="491">
        <f>VLOOKUP(C32,CC!$C$5:$AJ$67,34,0)</f>
        <v>27</v>
      </c>
      <c r="N32" s="951">
        <f t="shared" si="28"/>
        <v>4583509.615384615</v>
      </c>
      <c r="O32" s="490">
        <f>VLOOKUP(C32,CC!$C$5:$AM$67,36,0)</f>
        <v>0</v>
      </c>
      <c r="P32" s="490">
        <f>VLOOKUP(C32,CC!$C$5:$BS$67,69,0)</f>
        <v>0</v>
      </c>
      <c r="Q32" s="490">
        <f>VLOOKUP(C32,CC!$C$5:$BT$67,70,0)</f>
        <v>0</v>
      </c>
      <c r="R32" s="490">
        <f>VLOOKUP(C32,CC!$C$5:$AM$67,37,0)</f>
        <v>0</v>
      </c>
      <c r="S32" s="490">
        <f>VLOOKUP(C32,CC!$C$5:$AM$67,35,0)</f>
        <v>0</v>
      </c>
      <c r="T32" s="961">
        <f t="shared" si="29"/>
        <v>4583509.615384615</v>
      </c>
      <c r="U32" s="490">
        <f>VLOOKUP(C32,'Công tổng'!$C$53:$BY$85,75,0)-N32</f>
        <v>-4583509.615384615</v>
      </c>
      <c r="V32" s="490">
        <f t="shared" si="43"/>
        <v>0</v>
      </c>
      <c r="W32" s="951">
        <f t="shared" si="30"/>
        <v>0</v>
      </c>
      <c r="X32" s="950">
        <f>(100%-VLOOKUP(C32,'chuyên cần'!$C$7:$AP$52,40,FALSE))*$X$3</f>
        <v>300000</v>
      </c>
      <c r="Y32" s="490"/>
      <c r="Z32" s="490">
        <f t="shared" si="39"/>
        <v>300000</v>
      </c>
      <c r="AA32" s="492">
        <f t="shared" si="40"/>
        <v>300000</v>
      </c>
      <c r="AB32" s="674">
        <f>VLOOKUP(C32,'ung luong'!C97:F145,4,0)</f>
        <v>3000000</v>
      </c>
      <c r="AC32" s="492">
        <f t="shared" si="41"/>
        <v>480585</v>
      </c>
      <c r="AD32" s="492">
        <v>4577000</v>
      </c>
      <c r="AE32" s="674"/>
      <c r="AF32" s="492">
        <f t="shared" si="42"/>
        <v>-3180585</v>
      </c>
      <c r="AG32" s="674">
        <f>VLOOKUP(C32,CC!$C$5:$BV$50,72,0)*22000</f>
        <v>0</v>
      </c>
      <c r="AH32" s="674">
        <f>VLOOKUP(C32,CC!$C$5:$BW$50,73,0)*22000</f>
        <v>0</v>
      </c>
      <c r="AI32" s="492"/>
      <c r="AJ32" s="492">
        <f t="shared" si="36"/>
        <v>-3181000</v>
      </c>
      <c r="AK32" s="674">
        <f t="shared" si="37"/>
        <v>-3181000</v>
      </c>
      <c r="AL32" s="519">
        <f>200-65</f>
        <v>135</v>
      </c>
      <c r="AM32" s="519"/>
      <c r="AN32" s="519"/>
      <c r="AO32" s="519"/>
      <c r="AP32" s="519"/>
      <c r="AQ32" s="519"/>
      <c r="AR32" s="519"/>
      <c r="AS32" s="519"/>
      <c r="AT32" s="519"/>
      <c r="AU32" s="519"/>
      <c r="AV32" s="519"/>
      <c r="AW32" s="519"/>
      <c r="AX32" s="519"/>
      <c r="AY32" s="519"/>
      <c r="AZ32" s="519"/>
      <c r="BA32" s="519"/>
      <c r="BB32" s="519"/>
      <c r="BC32" s="519"/>
      <c r="BD32" s="519"/>
      <c r="BE32" s="519"/>
      <c r="BF32" s="519"/>
      <c r="BG32" s="519"/>
      <c r="BH32" s="519"/>
      <c r="BI32" s="519"/>
      <c r="BJ32" s="519"/>
      <c r="BK32" s="519"/>
      <c r="BL32" s="519"/>
      <c r="BM32" s="519"/>
      <c r="BN32" s="519"/>
      <c r="BO32" s="519"/>
      <c r="BP32" s="519"/>
      <c r="BQ32" s="519"/>
      <c r="BR32" s="519"/>
      <c r="BS32" s="519"/>
      <c r="BT32" s="519"/>
      <c r="BU32" s="519"/>
      <c r="BV32" s="519"/>
      <c r="BW32" s="519"/>
      <c r="BX32" s="519"/>
      <c r="BY32" s="519"/>
      <c r="BZ32" s="519"/>
      <c r="CA32" s="519"/>
      <c r="CB32" s="519"/>
      <c r="CC32" s="519"/>
      <c r="CD32" s="519"/>
      <c r="CE32" s="519"/>
      <c r="CF32" s="519"/>
      <c r="CG32" s="519"/>
      <c r="CH32" s="519"/>
      <c r="CI32" s="519"/>
      <c r="CJ32" s="519"/>
      <c r="CK32" s="519"/>
      <c r="CL32" s="519"/>
      <c r="CM32" s="519"/>
      <c r="CN32" s="519"/>
      <c r="CO32" s="519"/>
      <c r="CP32" s="519"/>
      <c r="CQ32" s="519"/>
      <c r="CR32" s="519"/>
      <c r="CS32" s="519"/>
      <c r="CT32" s="519"/>
      <c r="CU32" s="519"/>
      <c r="CV32" s="519"/>
      <c r="CW32" s="519"/>
      <c r="CX32" s="519"/>
      <c r="CY32" s="519"/>
      <c r="CZ32" s="519"/>
      <c r="DA32" s="519"/>
      <c r="DB32" s="519"/>
      <c r="DC32" s="519"/>
      <c r="DD32" s="519"/>
      <c r="DE32" s="519"/>
      <c r="DF32" s="519"/>
      <c r="DG32" s="519"/>
      <c r="DH32" s="519"/>
      <c r="DI32" s="519"/>
      <c r="DJ32" s="519"/>
      <c r="DK32" s="519"/>
      <c r="DL32" s="519"/>
      <c r="DM32" s="519"/>
      <c r="DN32" s="519"/>
      <c r="DO32" s="519"/>
      <c r="DP32" s="519"/>
      <c r="DQ32" s="519"/>
      <c r="DR32" s="519"/>
      <c r="DS32" s="519"/>
      <c r="DT32" s="519"/>
      <c r="DU32" s="519"/>
      <c r="DV32" s="519"/>
      <c r="DW32" s="519"/>
      <c r="DX32" s="519"/>
      <c r="DY32" s="519"/>
      <c r="DZ32" s="519"/>
    </row>
    <row r="33" spans="1:130 2330:2330" s="520" customFormat="1" ht="21" customHeight="1">
      <c r="A33" s="437">
        <v>28</v>
      </c>
      <c r="B33" s="437" t="s">
        <v>145</v>
      </c>
      <c r="C33" s="437" t="s">
        <v>757</v>
      </c>
      <c r="D33" s="437" t="s">
        <v>206</v>
      </c>
      <c r="E33" s="488">
        <v>42789</v>
      </c>
      <c r="F33" s="493">
        <f t="shared" ref="F33:F37" si="44">IF(IF(E33="",0,ROUND(($P$2-E33)/30,0))&lt;0,0,IF(E33="",0,ROUND(($P$2-E33)/30,0)))</f>
        <v>30</v>
      </c>
      <c r="G33" s="494">
        <f>IF(VLOOKUP(F33,'he so'!C:D,2,0)=0,0,VLOOKUP(F33,'he so'!C:D,2,0))</f>
        <v>0</v>
      </c>
      <c r="H33" s="490">
        <f t="shared" si="3"/>
        <v>3745000</v>
      </c>
      <c r="I33" s="489" t="s">
        <v>661</v>
      </c>
      <c r="J33" s="489">
        <v>1</v>
      </c>
      <c r="K33" s="495">
        <v>3745000</v>
      </c>
      <c r="L33" s="490">
        <f>VLOOKUP(I33,'thang luong moi'!B:I,'BANG LUONG 1'!J33+1,0)</f>
        <v>4413750</v>
      </c>
      <c r="M33" s="491">
        <f>VLOOKUP(C33,CC!$C$5:$AJ$67,34,0)</f>
        <v>27</v>
      </c>
      <c r="N33" s="951">
        <f t="shared" si="28"/>
        <v>4583509.615384615</v>
      </c>
      <c r="O33" s="490">
        <f>VLOOKUP(C33,CC!$C$5:$AM$67,36,0)</f>
        <v>0</v>
      </c>
      <c r="P33" s="490">
        <f>VLOOKUP(C33,CC!$C$5:$BS$67,69,0)</f>
        <v>0</v>
      </c>
      <c r="Q33" s="490">
        <f>VLOOKUP(C33,CC!$C$5:$BT$67,70,0)</f>
        <v>0</v>
      </c>
      <c r="R33" s="490">
        <f>VLOOKUP(C33,CC!$C$5:$AM$67,37,0)</f>
        <v>0</v>
      </c>
      <c r="S33" s="490">
        <f>VLOOKUP(C33,CC!$C$5:$AM$67,35,0)</f>
        <v>0</v>
      </c>
      <c r="T33" s="961">
        <f t="shared" si="29"/>
        <v>4583509.615384615</v>
      </c>
      <c r="U33" s="490">
        <f>VLOOKUP(C33,'Công tổng'!$C$53:$BY$85,75,0)-N33</f>
        <v>-4583509.615384615</v>
      </c>
      <c r="V33" s="490">
        <f t="shared" si="43"/>
        <v>0</v>
      </c>
      <c r="W33" s="951">
        <f t="shared" si="30"/>
        <v>0</v>
      </c>
      <c r="X33" s="950">
        <f>(100%-VLOOKUP(C33,'chuyên cần'!$C$7:$AP$52,40,FALSE))*$X$3</f>
        <v>300000</v>
      </c>
      <c r="Y33" s="490"/>
      <c r="Z33" s="490">
        <f t="shared" si="39"/>
        <v>300000</v>
      </c>
      <c r="AA33" s="492">
        <f t="shared" si="40"/>
        <v>300000</v>
      </c>
      <c r="AB33" s="674">
        <f>VLOOKUP(C33,'ung luong'!C98:F146,4,0)</f>
        <v>4000000</v>
      </c>
      <c r="AC33" s="492">
        <f t="shared" si="41"/>
        <v>480585</v>
      </c>
      <c r="AD33" s="674">
        <v>4577000</v>
      </c>
      <c r="AE33" s="674"/>
      <c r="AF33" s="492">
        <f t="shared" si="42"/>
        <v>-4180585</v>
      </c>
      <c r="AG33" s="674">
        <f>VLOOKUP(C33,CC!$C$5:$BV$50,72,0)*22000</f>
        <v>0</v>
      </c>
      <c r="AH33" s="674">
        <f>VLOOKUP(C33,CC!$C$5:$BW$50,73,0)*22000</f>
        <v>0</v>
      </c>
      <c r="AI33" s="492"/>
      <c r="AJ33" s="492">
        <f t="shared" si="36"/>
        <v>-4181000</v>
      </c>
      <c r="AK33" s="674">
        <f t="shared" si="37"/>
        <v>-4181000</v>
      </c>
      <c r="AL33" s="519"/>
      <c r="AM33" s="519"/>
      <c r="AN33" s="519"/>
      <c r="AO33" s="519"/>
      <c r="AP33" s="519"/>
      <c r="AQ33" s="519"/>
      <c r="AR33" s="519"/>
      <c r="AS33" s="519"/>
      <c r="AT33" s="519"/>
      <c r="AU33" s="519"/>
      <c r="AV33" s="519"/>
      <c r="AW33" s="519"/>
      <c r="AX33" s="519"/>
      <c r="AY33" s="519"/>
      <c r="AZ33" s="519"/>
      <c r="BA33" s="519"/>
      <c r="BB33" s="519"/>
      <c r="BC33" s="519"/>
      <c r="BD33" s="519"/>
      <c r="BE33" s="519"/>
      <c r="BF33" s="519"/>
      <c r="BG33" s="519"/>
      <c r="BH33" s="519"/>
      <c r="BI33" s="519"/>
      <c r="BJ33" s="519"/>
      <c r="BK33" s="519"/>
      <c r="BL33" s="519"/>
      <c r="BM33" s="519"/>
      <c r="BN33" s="519"/>
      <c r="BO33" s="519"/>
      <c r="BP33" s="519"/>
      <c r="BQ33" s="519"/>
      <c r="BR33" s="519"/>
      <c r="BS33" s="519"/>
      <c r="BT33" s="519"/>
      <c r="BU33" s="519"/>
      <c r="BV33" s="519"/>
      <c r="BW33" s="519"/>
      <c r="BX33" s="519"/>
      <c r="BY33" s="519"/>
      <c r="BZ33" s="519"/>
      <c r="CA33" s="519"/>
      <c r="CB33" s="519"/>
      <c r="CC33" s="519"/>
      <c r="CD33" s="519"/>
      <c r="CE33" s="519"/>
      <c r="CF33" s="519"/>
      <c r="CG33" s="519"/>
      <c r="CH33" s="519"/>
      <c r="CI33" s="519"/>
      <c r="CJ33" s="519"/>
      <c r="CK33" s="519"/>
      <c r="CL33" s="519"/>
      <c r="CM33" s="519"/>
      <c r="CN33" s="519"/>
      <c r="CO33" s="519"/>
      <c r="CP33" s="519"/>
      <c r="CQ33" s="519"/>
      <c r="CR33" s="519"/>
      <c r="CS33" s="519"/>
      <c r="CT33" s="519"/>
      <c r="CU33" s="519"/>
      <c r="CV33" s="519"/>
      <c r="CW33" s="519"/>
      <c r="CX33" s="519"/>
      <c r="CY33" s="519"/>
      <c r="CZ33" s="519"/>
      <c r="DA33" s="519"/>
      <c r="DB33" s="519"/>
      <c r="DC33" s="519"/>
      <c r="DD33" s="519"/>
      <c r="DE33" s="519"/>
      <c r="DF33" s="519"/>
      <c r="DG33" s="519"/>
      <c r="DH33" s="519"/>
      <c r="DI33" s="519"/>
      <c r="DJ33" s="519"/>
      <c r="DK33" s="519"/>
      <c r="DL33" s="519"/>
      <c r="DM33" s="519"/>
      <c r="DN33" s="519"/>
      <c r="DO33" s="519"/>
      <c r="DP33" s="519"/>
      <c r="DQ33" s="519"/>
      <c r="DR33" s="519"/>
      <c r="DS33" s="519"/>
      <c r="DT33" s="519"/>
      <c r="DU33" s="519"/>
      <c r="DV33" s="519"/>
      <c r="DW33" s="519"/>
      <c r="DX33" s="519"/>
      <c r="DY33" s="519"/>
      <c r="DZ33" s="519"/>
    </row>
    <row r="34" spans="1:130 2330:2330" s="520" customFormat="1" ht="26.25" customHeight="1">
      <c r="A34" s="437">
        <v>30</v>
      </c>
      <c r="B34" s="437" t="s">
        <v>147</v>
      </c>
      <c r="C34" s="437" t="s">
        <v>715</v>
      </c>
      <c r="D34" s="437" t="s">
        <v>206</v>
      </c>
      <c r="E34" s="488">
        <v>42375</v>
      </c>
      <c r="F34" s="493">
        <f t="shared" si="44"/>
        <v>44</v>
      </c>
      <c r="G34" s="494">
        <f>IF(VLOOKUP(F34,'he so'!C:D,2,0)=0,0,VLOOKUP(F34,'he so'!C:D,2,0))</f>
        <v>0.03</v>
      </c>
      <c r="H34" s="490">
        <f t="shared" si="3"/>
        <v>3745000</v>
      </c>
      <c r="I34" s="489" t="s">
        <v>661</v>
      </c>
      <c r="J34" s="489">
        <v>1</v>
      </c>
      <c r="K34" s="495">
        <v>3745000</v>
      </c>
      <c r="L34" s="490">
        <f>VLOOKUP(I34,'thang luong moi'!B:I,'BANG LUONG 1'!J34+1,0)</f>
        <v>4413750</v>
      </c>
      <c r="M34" s="491">
        <f>VLOOKUP(C34,CC!$C$5:$AJ$67,34,0)</f>
        <v>27</v>
      </c>
      <c r="N34" s="951">
        <f t="shared" si="28"/>
        <v>4583509.615384615</v>
      </c>
      <c r="O34" s="490">
        <f>VLOOKUP(C34,CC!$C$5:$AM$67,36,0)</f>
        <v>0</v>
      </c>
      <c r="P34" s="490">
        <f>VLOOKUP(C34,CC!$C$5:$BS$67,69,0)</f>
        <v>0</v>
      </c>
      <c r="Q34" s="490">
        <f>VLOOKUP(C34,CC!$C$5:$BT$67,70,0)</f>
        <v>0</v>
      </c>
      <c r="R34" s="490">
        <f>VLOOKUP(C34,CC!$C$5:$AM$67,37,0)</f>
        <v>0</v>
      </c>
      <c r="S34" s="490">
        <f>VLOOKUP(C34,CC!$C$5:$AM$67,35,0)</f>
        <v>0</v>
      </c>
      <c r="T34" s="961">
        <f t="shared" si="29"/>
        <v>4583509.615384615</v>
      </c>
      <c r="U34" s="490">
        <f>VLOOKUP(C34,'Công tổng'!$C$53:$BY$85,75,0)-N34</f>
        <v>-4583509.615384615</v>
      </c>
      <c r="V34" s="490">
        <f t="shared" si="43"/>
        <v>132412.5</v>
      </c>
      <c r="W34" s="951">
        <f t="shared" si="30"/>
        <v>132412.5</v>
      </c>
      <c r="X34" s="950">
        <f>(100%-VLOOKUP(C34,'chuyên cần'!$C$7:$AP$52,40,FALSE))*$X$3</f>
        <v>300000</v>
      </c>
      <c r="Y34" s="490"/>
      <c r="Z34" s="490">
        <f t="shared" si="39"/>
        <v>432412.5</v>
      </c>
      <c r="AA34" s="492">
        <f>Z34+U34+T34</f>
        <v>432412.5</v>
      </c>
      <c r="AB34" s="674">
        <f>VLOOKUP(C34,'ung luong'!C99:F148,4,0)</f>
        <v>4000000</v>
      </c>
      <c r="AC34" s="492">
        <f t="shared" si="41"/>
        <v>480585</v>
      </c>
      <c r="AD34" s="674">
        <v>4577000</v>
      </c>
      <c r="AE34" s="674"/>
      <c r="AF34" s="492">
        <f t="shared" si="42"/>
        <v>-4048172.5</v>
      </c>
      <c r="AG34" s="674">
        <f>VLOOKUP(C34,CC!$C$5:$BV$50,72,0)*22000</f>
        <v>0</v>
      </c>
      <c r="AH34" s="674">
        <f>VLOOKUP(C34,CC!$C$5:$BW$50,73,0)*22000</f>
        <v>0</v>
      </c>
      <c r="AI34" s="492"/>
      <c r="AJ34" s="492">
        <f t="shared" si="36"/>
        <v>-4048000</v>
      </c>
      <c r="AK34" s="674">
        <f t="shared" si="37"/>
        <v>-4048000</v>
      </c>
      <c r="AL34" s="519"/>
      <c r="AM34" s="519"/>
      <c r="AN34" s="519"/>
      <c r="AO34" s="519"/>
      <c r="AP34" s="519"/>
      <c r="AQ34" s="519"/>
      <c r="AR34" s="519"/>
      <c r="AS34" s="519"/>
      <c r="AT34" s="519"/>
      <c r="AU34" s="519"/>
      <c r="AV34" s="519"/>
      <c r="AW34" s="519"/>
      <c r="AX34" s="519"/>
      <c r="AY34" s="519"/>
      <c r="AZ34" s="519"/>
      <c r="BA34" s="519"/>
      <c r="BB34" s="519"/>
      <c r="BC34" s="519"/>
      <c r="BD34" s="519"/>
      <c r="BE34" s="519"/>
      <c r="BF34" s="519"/>
      <c r="BG34" s="519"/>
      <c r="BH34" s="519"/>
      <c r="BI34" s="519"/>
      <c r="BJ34" s="519"/>
      <c r="BK34" s="519"/>
      <c r="BL34" s="519"/>
      <c r="BM34" s="519"/>
      <c r="BN34" s="519"/>
      <c r="BO34" s="519"/>
      <c r="BP34" s="519"/>
      <c r="BQ34" s="519"/>
      <c r="BR34" s="519"/>
      <c r="BS34" s="519"/>
      <c r="BT34" s="519"/>
      <c r="BU34" s="519"/>
      <c r="BV34" s="519"/>
      <c r="BW34" s="519"/>
      <c r="BX34" s="519"/>
      <c r="BY34" s="519"/>
      <c r="BZ34" s="519"/>
      <c r="CA34" s="519"/>
      <c r="CB34" s="519"/>
      <c r="CC34" s="519"/>
      <c r="CD34" s="519"/>
      <c r="CE34" s="519"/>
      <c r="CF34" s="519"/>
      <c r="CG34" s="519"/>
      <c r="CH34" s="519"/>
      <c r="CI34" s="519"/>
      <c r="CJ34" s="519"/>
      <c r="CK34" s="519"/>
      <c r="CL34" s="519"/>
      <c r="CM34" s="519"/>
      <c r="CN34" s="519"/>
      <c r="CO34" s="519"/>
      <c r="CP34" s="519"/>
      <c r="CQ34" s="519"/>
      <c r="CR34" s="519"/>
      <c r="CS34" s="519"/>
      <c r="CT34" s="519"/>
      <c r="CU34" s="519"/>
      <c r="CV34" s="519"/>
      <c r="CW34" s="519"/>
      <c r="CX34" s="519"/>
      <c r="CY34" s="519"/>
      <c r="CZ34" s="519"/>
      <c r="DA34" s="519"/>
      <c r="DB34" s="519"/>
      <c r="DC34" s="519"/>
      <c r="DD34" s="519"/>
      <c r="DE34" s="519"/>
      <c r="DF34" s="519"/>
      <c r="DG34" s="519"/>
      <c r="DH34" s="519"/>
      <c r="DI34" s="519"/>
      <c r="DJ34" s="519"/>
      <c r="DK34" s="519"/>
      <c r="DL34" s="519"/>
      <c r="DM34" s="519"/>
      <c r="DN34" s="519"/>
      <c r="DO34" s="519"/>
      <c r="DP34" s="519"/>
      <c r="DQ34" s="519"/>
      <c r="DR34" s="519"/>
      <c r="DS34" s="519"/>
      <c r="DT34" s="519"/>
      <c r="DU34" s="519"/>
      <c r="DV34" s="519"/>
      <c r="DW34" s="519"/>
      <c r="DX34" s="519"/>
      <c r="DY34" s="519"/>
      <c r="DZ34" s="519"/>
    </row>
    <row r="35" spans="1:130 2330:2330" s="520" customFormat="1" ht="26.25" customHeight="1">
      <c r="A35" s="437">
        <v>31</v>
      </c>
      <c r="B35" s="437" t="s">
        <v>148</v>
      </c>
      <c r="C35" s="437" t="s">
        <v>775</v>
      </c>
      <c r="D35" s="437" t="s">
        <v>206</v>
      </c>
      <c r="E35" s="488">
        <v>41956</v>
      </c>
      <c r="F35" s="493">
        <f t="shared" si="44"/>
        <v>58</v>
      </c>
      <c r="G35" s="494">
        <f>IF(VLOOKUP(F35,'he so'!C:D,2,0)=0,0,VLOOKUP(F35,'he so'!C:D,2,0))</f>
        <v>0.04</v>
      </c>
      <c r="H35" s="490">
        <f t="shared" si="3"/>
        <v>3745000</v>
      </c>
      <c r="I35" s="489" t="s">
        <v>661</v>
      </c>
      <c r="J35" s="489">
        <v>1</v>
      </c>
      <c r="K35" s="495">
        <v>3745000</v>
      </c>
      <c r="L35" s="490">
        <f>VLOOKUP(I35,'thang luong moi'!B:I,'BANG LUONG 1'!J35+1,0)</f>
        <v>4413750</v>
      </c>
      <c r="M35" s="491">
        <f>VLOOKUP(C35,CC!$C$5:$AJ$67,34,0)</f>
        <v>27</v>
      </c>
      <c r="N35" s="951">
        <f t="shared" si="28"/>
        <v>4583509.615384615</v>
      </c>
      <c r="O35" s="490">
        <f>VLOOKUP(C35,CC!$C$5:$AM$67,36,0)</f>
        <v>0</v>
      </c>
      <c r="P35" s="490">
        <f>VLOOKUP(C35,CC!$C$5:$BS$67,69,0)</f>
        <v>0</v>
      </c>
      <c r="Q35" s="490">
        <f>VLOOKUP(C35,CC!$C$5:$BT$67,70,0)</f>
        <v>0</v>
      </c>
      <c r="R35" s="490">
        <f>VLOOKUP(C35,CC!$C$5:$AM$67,37,0)</f>
        <v>0</v>
      </c>
      <c r="S35" s="490">
        <f>VLOOKUP(C35,CC!$C$5:$AM$67,35,0)</f>
        <v>0</v>
      </c>
      <c r="T35" s="961">
        <f t="shared" si="29"/>
        <v>4583509.615384615</v>
      </c>
      <c r="U35" s="490">
        <f>VLOOKUP(C35,'Công tổng'!$C$53:$BY$85,75,0)-N35</f>
        <v>-4583509.615384615</v>
      </c>
      <c r="V35" s="490">
        <f t="shared" si="43"/>
        <v>176550</v>
      </c>
      <c r="W35" s="951">
        <f t="shared" si="30"/>
        <v>176550</v>
      </c>
      <c r="X35" s="950">
        <f>(100%-VLOOKUP(C35,'chuyên cần'!$C$7:$AP$52,40,FALSE))*$X$3</f>
        <v>300000</v>
      </c>
      <c r="Y35" s="490"/>
      <c r="Z35" s="490">
        <f t="shared" si="39"/>
        <v>476550</v>
      </c>
      <c r="AA35" s="492">
        <f t="shared" si="40"/>
        <v>476550</v>
      </c>
      <c r="AB35" s="674">
        <f>VLOOKUP(C35,'ung luong'!C100:F149,4,0)</f>
        <v>3500000</v>
      </c>
      <c r="AC35" s="492">
        <f t="shared" si="41"/>
        <v>480585</v>
      </c>
      <c r="AD35" s="674">
        <v>4577000</v>
      </c>
      <c r="AE35" s="674"/>
      <c r="AF35" s="492">
        <f t="shared" si="42"/>
        <v>-3504035</v>
      </c>
      <c r="AG35" s="674">
        <f>VLOOKUP(C35,CC!$C$5:$BV$50,72,0)*22000</f>
        <v>0</v>
      </c>
      <c r="AH35" s="674">
        <f>VLOOKUP(C35,CC!$C$5:$BW$50,73,0)*22000</f>
        <v>0</v>
      </c>
      <c r="AI35" s="492"/>
      <c r="AJ35" s="492">
        <f>ROUND(AF35,-3)+AI35+AG35+AH35+AE35</f>
        <v>-3504000</v>
      </c>
      <c r="AK35" s="674">
        <f t="shared" si="37"/>
        <v>-3504000</v>
      </c>
      <c r="AL35" s="519"/>
      <c r="AM35" s="519"/>
      <c r="AN35" s="519"/>
      <c r="AO35" s="519"/>
      <c r="AP35" s="519"/>
      <c r="AQ35" s="519"/>
      <c r="AR35" s="519"/>
      <c r="AS35" s="519"/>
      <c r="AT35" s="519"/>
      <c r="AU35" s="519"/>
      <c r="AV35" s="519"/>
      <c r="AW35" s="519"/>
      <c r="AX35" s="519"/>
      <c r="AY35" s="519"/>
      <c r="AZ35" s="519"/>
      <c r="BA35" s="519"/>
      <c r="BB35" s="519"/>
      <c r="BC35" s="519"/>
      <c r="BD35" s="519"/>
      <c r="BE35" s="519"/>
      <c r="BF35" s="519"/>
      <c r="BG35" s="519"/>
      <c r="BH35" s="519"/>
      <c r="BI35" s="519"/>
      <c r="BJ35" s="519"/>
      <c r="BK35" s="519"/>
      <c r="BL35" s="519"/>
      <c r="BM35" s="519"/>
      <c r="BN35" s="519"/>
      <c r="BO35" s="519"/>
      <c r="BP35" s="519"/>
      <c r="BQ35" s="519"/>
      <c r="BR35" s="519"/>
      <c r="BS35" s="519"/>
      <c r="BT35" s="519"/>
      <c r="BU35" s="519"/>
      <c r="BV35" s="519"/>
      <c r="BW35" s="519"/>
      <c r="BX35" s="519"/>
      <c r="BY35" s="519"/>
      <c r="BZ35" s="519"/>
      <c r="CA35" s="519"/>
      <c r="CB35" s="519"/>
      <c r="CC35" s="519"/>
      <c r="CD35" s="519"/>
      <c r="CE35" s="519"/>
      <c r="CF35" s="519"/>
      <c r="CG35" s="519"/>
      <c r="CH35" s="519"/>
      <c r="CI35" s="519"/>
      <c r="CJ35" s="519"/>
      <c r="CK35" s="519"/>
      <c r="CL35" s="519"/>
      <c r="CM35" s="519"/>
      <c r="CN35" s="519"/>
      <c r="CO35" s="519"/>
      <c r="CP35" s="519"/>
      <c r="CQ35" s="519"/>
      <c r="CR35" s="519"/>
      <c r="CS35" s="519"/>
      <c r="CT35" s="519"/>
      <c r="CU35" s="519"/>
      <c r="CV35" s="519"/>
      <c r="CW35" s="519"/>
      <c r="CX35" s="519"/>
      <c r="CY35" s="519"/>
      <c r="CZ35" s="519"/>
      <c r="DA35" s="519"/>
      <c r="DB35" s="519"/>
      <c r="DC35" s="519"/>
      <c r="DD35" s="519"/>
      <c r="DE35" s="519"/>
      <c r="DF35" s="519"/>
      <c r="DG35" s="519"/>
      <c r="DH35" s="519"/>
      <c r="DI35" s="519"/>
      <c r="DJ35" s="519"/>
      <c r="DK35" s="519"/>
      <c r="DL35" s="519"/>
      <c r="DM35" s="519"/>
      <c r="DN35" s="519"/>
      <c r="DO35" s="519"/>
      <c r="DP35" s="519"/>
      <c r="DQ35" s="519"/>
      <c r="DR35" s="519"/>
      <c r="DS35" s="519"/>
      <c r="DT35" s="519"/>
      <c r="DU35" s="519"/>
      <c r="DV35" s="519"/>
      <c r="DW35" s="519"/>
      <c r="DX35" s="519"/>
      <c r="DY35" s="519"/>
      <c r="DZ35" s="519"/>
    </row>
    <row r="36" spans="1:130 2330:2330" s="520" customFormat="1" ht="26.25" customHeight="1">
      <c r="A36" s="437">
        <v>32</v>
      </c>
      <c r="B36" s="437" t="s">
        <v>149</v>
      </c>
      <c r="C36" s="437" t="s">
        <v>748</v>
      </c>
      <c r="D36" s="437" t="s">
        <v>810</v>
      </c>
      <c r="E36" s="806">
        <v>42766</v>
      </c>
      <c r="F36" s="493">
        <f t="shared" si="44"/>
        <v>31</v>
      </c>
      <c r="G36" s="494">
        <f>IF(VLOOKUP(F36,'he so'!C:D,2,0)=0,0,VLOOKUP(F36,'he so'!C:D,2,0))</f>
        <v>0</v>
      </c>
      <c r="H36" s="490">
        <f t="shared" si="3"/>
        <v>3745000</v>
      </c>
      <c r="I36" s="489" t="s">
        <v>661</v>
      </c>
      <c r="J36" s="489">
        <v>1</v>
      </c>
      <c r="K36" s="495">
        <v>3745000</v>
      </c>
      <c r="L36" s="490">
        <f>VLOOKUP(I36,'thang luong moi'!B:I,'BANG LUONG 1'!J36+1,0)</f>
        <v>4413750</v>
      </c>
      <c r="M36" s="491">
        <f>VLOOKUP(C36,CC!$C$5:$AJ$67,34,0)</f>
        <v>27</v>
      </c>
      <c r="N36" s="951">
        <f t="shared" si="28"/>
        <v>4583509.615384615</v>
      </c>
      <c r="O36" s="490">
        <f>VLOOKUP(C36,CC!$C$5:$AM$67,36,0)</f>
        <v>0</v>
      </c>
      <c r="P36" s="490">
        <f>VLOOKUP(C36,CC!$C$5:$BS$67,69,0)</f>
        <v>0</v>
      </c>
      <c r="Q36" s="490">
        <f>VLOOKUP(C36,CC!$C$5:$BT$67,70,0)</f>
        <v>0</v>
      </c>
      <c r="R36" s="490">
        <f>VLOOKUP(C36,CC!$C$5:$AM$67,37,0)</f>
        <v>0</v>
      </c>
      <c r="S36" s="490">
        <f>VLOOKUP(C36,CC!$C$5:$AM$67,35,0)</f>
        <v>0</v>
      </c>
      <c r="T36" s="961">
        <f t="shared" si="29"/>
        <v>4583509.615384615</v>
      </c>
      <c r="U36" s="490">
        <f>VLOOKUP(C36,'Công tổng'!$C$53:$BY$85,75,0)-N36</f>
        <v>-4583509.615384615</v>
      </c>
      <c r="V36" s="490">
        <f t="shared" si="43"/>
        <v>0</v>
      </c>
      <c r="W36" s="951">
        <f t="shared" si="30"/>
        <v>0</v>
      </c>
      <c r="X36" s="950">
        <f>(100%-VLOOKUP(C36,'chuyên cần'!$C$7:$AP$52,40,FALSE))*$X$3</f>
        <v>300000</v>
      </c>
      <c r="Y36" s="490"/>
      <c r="Z36" s="490">
        <f t="shared" si="39"/>
        <v>300000</v>
      </c>
      <c r="AA36" s="492">
        <f t="shared" si="40"/>
        <v>300000</v>
      </c>
      <c r="AB36" s="674">
        <f>VLOOKUP(C36,'ung luong'!C101:F150,4,0)</f>
        <v>4000000</v>
      </c>
      <c r="AC36" s="492">
        <f t="shared" si="41"/>
        <v>480585</v>
      </c>
      <c r="AD36" s="674">
        <v>4577000</v>
      </c>
      <c r="AE36" s="674"/>
      <c r="AF36" s="492">
        <f t="shared" si="42"/>
        <v>-4180585</v>
      </c>
      <c r="AG36" s="674">
        <f>VLOOKUP(C36,CC!$C$5:$BV$50,72,0)*22000</f>
        <v>0</v>
      </c>
      <c r="AH36" s="674">
        <f>VLOOKUP(C36,CC!$C$5:$BW$50,73,0)*22000</f>
        <v>0</v>
      </c>
      <c r="AI36" s="492"/>
      <c r="AJ36" s="492">
        <f t="shared" si="36"/>
        <v>-4181000</v>
      </c>
      <c r="AK36" s="674">
        <f t="shared" si="37"/>
        <v>-4181000</v>
      </c>
      <c r="AL36" s="519"/>
      <c r="AM36" s="519"/>
      <c r="AN36" s="519"/>
      <c r="AO36" s="519"/>
      <c r="AP36" s="519"/>
      <c r="AQ36" s="519"/>
      <c r="AR36" s="519"/>
      <c r="AS36" s="519"/>
      <c r="AT36" s="519"/>
      <c r="AU36" s="519"/>
      <c r="AV36" s="519"/>
      <c r="AW36" s="519"/>
      <c r="AX36" s="519"/>
      <c r="AY36" s="519"/>
      <c r="AZ36" s="519"/>
      <c r="BA36" s="519"/>
      <c r="BB36" s="519"/>
      <c r="BC36" s="519"/>
      <c r="BD36" s="519"/>
      <c r="BE36" s="519"/>
      <c r="BF36" s="519"/>
      <c r="BG36" s="519"/>
      <c r="BH36" s="519"/>
      <c r="BI36" s="519"/>
      <c r="BJ36" s="519"/>
      <c r="BK36" s="519"/>
      <c r="BL36" s="519"/>
      <c r="BM36" s="519"/>
      <c r="BN36" s="519"/>
      <c r="BO36" s="519"/>
      <c r="BP36" s="519"/>
      <c r="BQ36" s="519"/>
      <c r="BR36" s="519"/>
      <c r="BS36" s="519"/>
      <c r="BT36" s="519"/>
      <c r="BU36" s="519"/>
      <c r="BV36" s="519"/>
      <c r="BW36" s="519"/>
      <c r="BX36" s="519"/>
      <c r="BY36" s="519"/>
      <c r="BZ36" s="519"/>
      <c r="CA36" s="519"/>
      <c r="CB36" s="519"/>
      <c r="CC36" s="519"/>
      <c r="CD36" s="519"/>
      <c r="CE36" s="519"/>
      <c r="CF36" s="519"/>
      <c r="CG36" s="519"/>
      <c r="CH36" s="519"/>
      <c r="CI36" s="519"/>
      <c r="CJ36" s="519"/>
      <c r="CK36" s="519"/>
      <c r="CL36" s="519"/>
      <c r="CM36" s="519"/>
      <c r="CN36" s="519"/>
      <c r="CO36" s="519"/>
      <c r="CP36" s="519"/>
      <c r="CQ36" s="519"/>
      <c r="CR36" s="519"/>
      <c r="CS36" s="519"/>
      <c r="CT36" s="519"/>
      <c r="CU36" s="519"/>
      <c r="CV36" s="519"/>
      <c r="CW36" s="519"/>
      <c r="CX36" s="519"/>
      <c r="CY36" s="519"/>
      <c r="CZ36" s="519"/>
      <c r="DA36" s="519"/>
      <c r="DB36" s="519"/>
      <c r="DC36" s="519"/>
      <c r="DD36" s="519"/>
      <c r="DE36" s="519"/>
      <c r="DF36" s="519"/>
      <c r="DG36" s="519"/>
      <c r="DH36" s="519"/>
      <c r="DI36" s="519"/>
      <c r="DJ36" s="519"/>
      <c r="DK36" s="519"/>
      <c r="DL36" s="519"/>
      <c r="DM36" s="519"/>
      <c r="DN36" s="519"/>
      <c r="DO36" s="519"/>
      <c r="DP36" s="519"/>
      <c r="DQ36" s="519"/>
      <c r="DR36" s="519"/>
      <c r="DS36" s="519"/>
      <c r="DT36" s="519"/>
      <c r="DU36" s="519"/>
      <c r="DV36" s="519"/>
      <c r="DW36" s="519"/>
      <c r="DX36" s="519"/>
      <c r="DY36" s="519"/>
      <c r="DZ36" s="519"/>
    </row>
    <row r="37" spans="1:130 2330:2330" s="520" customFormat="1" ht="26.25" customHeight="1">
      <c r="A37" s="437">
        <v>33</v>
      </c>
      <c r="B37" s="437" t="s">
        <v>150</v>
      </c>
      <c r="C37" s="437" t="s">
        <v>600</v>
      </c>
      <c r="D37" s="437" t="s">
        <v>809</v>
      </c>
      <c r="E37" s="804">
        <v>42415</v>
      </c>
      <c r="F37" s="493">
        <f t="shared" si="44"/>
        <v>43</v>
      </c>
      <c r="G37" s="494">
        <f>IF(VLOOKUP(F37,'he so'!C:D,2,0)=0,0,VLOOKUP(F37,'he so'!C:D,2,0))</f>
        <v>0.03</v>
      </c>
      <c r="H37" s="490">
        <f t="shared" si="3"/>
        <v>3745000</v>
      </c>
      <c r="I37" s="489" t="s">
        <v>661</v>
      </c>
      <c r="J37" s="489">
        <v>1</v>
      </c>
      <c r="K37" s="495">
        <v>3745000</v>
      </c>
      <c r="L37" s="490">
        <f>VLOOKUP(I37,'thang luong moi'!B:I,'BANG LUONG 1'!J37+1,0)</f>
        <v>4413750</v>
      </c>
      <c r="M37" s="491">
        <f>VLOOKUP(C37,CC!$C$5:$AJ$67,34,0)</f>
        <v>27</v>
      </c>
      <c r="N37" s="951">
        <f t="shared" si="28"/>
        <v>4583509.615384615</v>
      </c>
      <c r="O37" s="490">
        <f>VLOOKUP(C37,CC!$C$5:$AM$67,36,0)</f>
        <v>0</v>
      </c>
      <c r="P37" s="490">
        <f>VLOOKUP(C37,CC!$C$5:$BS$67,69,0)</f>
        <v>0</v>
      </c>
      <c r="Q37" s="490">
        <f>VLOOKUP(C37,CC!$C$5:$BT$67,70,0)</f>
        <v>0</v>
      </c>
      <c r="R37" s="490">
        <f>VLOOKUP(C37,CC!$C$5:$AM$67,37,0)</f>
        <v>0</v>
      </c>
      <c r="S37" s="490">
        <f>VLOOKUP(C37,CC!$C$5:$AM$67,35,0)</f>
        <v>0</v>
      </c>
      <c r="T37" s="961">
        <f t="shared" si="29"/>
        <v>4583509.615384615</v>
      </c>
      <c r="U37" s="490">
        <f>VLOOKUP(C37,'Công tổng'!$C$53:$BY$85,75,0)-N37</f>
        <v>-4583509.615384615</v>
      </c>
      <c r="V37" s="490">
        <f t="shared" si="43"/>
        <v>132412.5</v>
      </c>
      <c r="W37" s="951">
        <f t="shared" si="30"/>
        <v>132412.5</v>
      </c>
      <c r="X37" s="950">
        <f>(100%-VLOOKUP(C37,'chuyên cần'!$C$7:$AP$52,40,FALSE))*$X$3</f>
        <v>300000</v>
      </c>
      <c r="Y37" s="490"/>
      <c r="Z37" s="490">
        <f t="shared" si="39"/>
        <v>432412.5</v>
      </c>
      <c r="AA37" s="492">
        <f t="shared" si="40"/>
        <v>432412.5</v>
      </c>
      <c r="AB37" s="674">
        <f>VLOOKUP(C37,'ung luong'!C102:F151,4,0)</f>
        <v>0</v>
      </c>
      <c r="AC37" s="492">
        <f t="shared" si="41"/>
        <v>480585</v>
      </c>
      <c r="AD37" s="674">
        <v>4577000</v>
      </c>
      <c r="AE37" s="674"/>
      <c r="AF37" s="492">
        <f t="shared" si="42"/>
        <v>-48172.5</v>
      </c>
      <c r="AG37" s="674">
        <f>VLOOKUP(C37,CC!$C$5:$BV$50,72,0)*22000</f>
        <v>0</v>
      </c>
      <c r="AH37" s="674">
        <f>VLOOKUP(C37,CC!$C$5:$BW$50,73,0)*22000</f>
        <v>0</v>
      </c>
      <c r="AI37" s="492"/>
      <c r="AJ37" s="492">
        <f>ROUND(AF37,-3)+AI37+AG37+AH37+AE37</f>
        <v>-48000</v>
      </c>
      <c r="AK37" s="674">
        <f t="shared" si="37"/>
        <v>-48000</v>
      </c>
      <c r="AL37" s="802">
        <f>+AJ37-AK37</f>
        <v>0</v>
      </c>
      <c r="AM37" s="519"/>
      <c r="AN37" s="519"/>
      <c r="AO37" s="519"/>
      <c r="AP37" s="519"/>
      <c r="AQ37" s="519"/>
      <c r="AR37" s="519"/>
      <c r="AS37" s="519"/>
      <c r="AT37" s="519"/>
      <c r="AU37" s="519"/>
      <c r="AV37" s="519"/>
      <c r="AW37" s="519"/>
      <c r="AX37" s="519"/>
      <c r="AY37" s="519"/>
      <c r="AZ37" s="519"/>
      <c r="BA37" s="519"/>
      <c r="BB37" s="519"/>
      <c r="BC37" s="519"/>
      <c r="BD37" s="519"/>
      <c r="BE37" s="519"/>
      <c r="BF37" s="519"/>
      <c r="BG37" s="519"/>
      <c r="BH37" s="519"/>
      <c r="BI37" s="519"/>
      <c r="BJ37" s="519"/>
      <c r="BK37" s="519"/>
      <c r="BL37" s="519"/>
      <c r="BM37" s="519"/>
      <c r="BN37" s="519"/>
      <c r="BO37" s="519"/>
      <c r="BP37" s="519"/>
      <c r="BQ37" s="519"/>
      <c r="BR37" s="519"/>
      <c r="BS37" s="519"/>
      <c r="BT37" s="519"/>
      <c r="BU37" s="519"/>
      <c r="BV37" s="519"/>
      <c r="BW37" s="519"/>
      <c r="BX37" s="519"/>
      <c r="BY37" s="519"/>
      <c r="BZ37" s="519"/>
      <c r="CA37" s="519"/>
      <c r="CB37" s="519"/>
      <c r="CC37" s="519"/>
      <c r="CD37" s="519"/>
      <c r="CE37" s="519"/>
      <c r="CF37" s="519"/>
      <c r="CG37" s="519"/>
      <c r="CH37" s="519"/>
      <c r="CI37" s="519"/>
      <c r="CJ37" s="519"/>
      <c r="CK37" s="519"/>
      <c r="CL37" s="519"/>
      <c r="CM37" s="519"/>
      <c r="CN37" s="519"/>
      <c r="CO37" s="519"/>
      <c r="CP37" s="519"/>
      <c r="CQ37" s="519"/>
      <c r="CR37" s="519"/>
      <c r="CS37" s="519"/>
      <c r="CT37" s="519"/>
      <c r="CU37" s="519"/>
      <c r="CV37" s="519"/>
      <c r="CW37" s="519"/>
      <c r="CX37" s="519"/>
      <c r="CY37" s="519"/>
      <c r="CZ37" s="519"/>
      <c r="DA37" s="519"/>
      <c r="DB37" s="519"/>
      <c r="DC37" s="519"/>
      <c r="DD37" s="519"/>
      <c r="DE37" s="519"/>
      <c r="DF37" s="519"/>
      <c r="DG37" s="519"/>
      <c r="DH37" s="519"/>
      <c r="DI37" s="519"/>
      <c r="DJ37" s="519"/>
      <c r="DK37" s="519"/>
      <c r="DL37" s="519"/>
      <c r="DM37" s="519"/>
      <c r="DN37" s="519"/>
      <c r="DO37" s="519"/>
      <c r="DP37" s="519"/>
      <c r="DQ37" s="519"/>
      <c r="DR37" s="519"/>
      <c r="DS37" s="519"/>
      <c r="DT37" s="519"/>
      <c r="DU37" s="519"/>
      <c r="DV37" s="519"/>
      <c r="DW37" s="519"/>
      <c r="DX37" s="519"/>
      <c r="DY37" s="519"/>
      <c r="DZ37" s="519"/>
    </row>
    <row r="38" spans="1:130 2330:2330" s="405" customFormat="1" ht="27.75" customHeight="1">
      <c r="A38" s="425" t="s">
        <v>14</v>
      </c>
      <c r="B38" s="425"/>
      <c r="C38" s="425" t="s">
        <v>819</v>
      </c>
      <c r="D38" s="425"/>
      <c r="E38" s="425"/>
      <c r="F38" s="425"/>
      <c r="G38" s="483"/>
      <c r="H38" s="484"/>
      <c r="I38" s="485"/>
      <c r="J38" s="485"/>
      <c r="K38" s="485"/>
      <c r="L38" s="485"/>
      <c r="M38" s="486"/>
      <c r="N38" s="948"/>
      <c r="O38" s="487"/>
      <c r="P38" s="487"/>
      <c r="Q38" s="487"/>
      <c r="R38" s="487"/>
      <c r="S38" s="487"/>
      <c r="T38" s="948"/>
      <c r="U38" s="487"/>
      <c r="V38" s="487"/>
      <c r="W38" s="948"/>
      <c r="X38" s="948"/>
      <c r="Y38" s="487"/>
      <c r="Z38" s="487"/>
      <c r="AA38" s="487">
        <f>SUM(AA39:AA46)</f>
        <v>3067618.2692307699</v>
      </c>
      <c r="AB38" s="487">
        <f t="shared" ref="AB38:AJ38" si="45">SUM(AB39:AB46)</f>
        <v>24000000</v>
      </c>
      <c r="AC38" s="487">
        <f t="shared" si="45"/>
        <v>1441755</v>
      </c>
      <c r="AD38" s="487">
        <f t="shared" si="45"/>
        <v>13731000</v>
      </c>
      <c r="AE38" s="487">
        <f t="shared" si="45"/>
        <v>0</v>
      </c>
      <c r="AF38" s="487">
        <f t="shared" si="45"/>
        <v>-22374136.730769232</v>
      </c>
      <c r="AG38" s="487">
        <f t="shared" si="45"/>
        <v>0</v>
      </c>
      <c r="AH38" s="487">
        <f t="shared" si="45"/>
        <v>0</v>
      </c>
      <c r="AI38" s="487">
        <f t="shared" si="45"/>
        <v>0</v>
      </c>
      <c r="AJ38" s="487">
        <f t="shared" si="45"/>
        <v>-22375000</v>
      </c>
      <c r="AK38" s="487">
        <f>SUM(AK39:AK44)</f>
        <v>-18975000</v>
      </c>
      <c r="CKP38" s="520"/>
    </row>
    <row r="39" spans="1:130 2330:2330" s="520" customFormat="1" ht="21" customHeight="1">
      <c r="A39" s="437">
        <v>34</v>
      </c>
      <c r="B39" s="437" t="s">
        <v>151</v>
      </c>
      <c r="C39" s="437" t="s">
        <v>776</v>
      </c>
      <c r="D39" s="437" t="s">
        <v>777</v>
      </c>
      <c r="E39" s="488">
        <v>43177</v>
      </c>
      <c r="F39" s="493">
        <f>IF(IF(E39="",0,ROUND(($P$2-E39)/30,0))&lt;0,0,IF(E39="",0,ROUND(($P$2-E39)/30,0)))</f>
        <v>18</v>
      </c>
      <c r="G39" s="494">
        <f>IF(VLOOKUP(F39,'he so'!C:D,2,0)=0,0,VLOOKUP(F39,'he so'!C:D,2,0))</f>
        <v>0</v>
      </c>
      <c r="H39" s="490">
        <f t="shared" si="3"/>
        <v>3745000</v>
      </c>
      <c r="I39" s="489" t="s">
        <v>667</v>
      </c>
      <c r="J39" s="489">
        <v>1</v>
      </c>
      <c r="K39" s="495">
        <v>3745000</v>
      </c>
      <c r="L39" s="490">
        <f>VLOOKUP(I39,'thang luong moi'!B:I,'BANG LUONG 1'!J39+1,0)</f>
        <v>4213125</v>
      </c>
      <c r="M39" s="491">
        <f>VLOOKUP(C39,CC!$C$5:$AJ$67,34,0)</f>
        <v>27</v>
      </c>
      <c r="N39" s="951">
        <f>L39/$N$1*M39</f>
        <v>4375168.269230769</v>
      </c>
      <c r="O39" s="490">
        <f>VLOOKUP(C39,CC!$C$5:$AM$67,36,0)</f>
        <v>0.5</v>
      </c>
      <c r="P39" s="490">
        <f>VLOOKUP(C39,CC!$C$5:$BS$67,69,0)</f>
        <v>0</v>
      </c>
      <c r="Q39" s="490">
        <f>VLOOKUP(C39,CC!$C$5:$BT$67,70,0)</f>
        <v>0</v>
      </c>
      <c r="R39" s="490">
        <f>VLOOKUP(C39,CC!$C$5:$AM$67,37,0)</f>
        <v>0</v>
      </c>
      <c r="S39" s="490">
        <f>VLOOKUP(C39,CC!$C$5:$AM$67,35,0)</f>
        <v>0</v>
      </c>
      <c r="T39" s="961">
        <f t="shared" ref="T39:T44" si="46">((L39/$N$1)*M39)+(O39*(L39/$N$1))+((P39/8)*1.5*(L39/$N$1))+((Q39/8)*2*L39/$N$1)+(S39*3*(L39/$N$1)+(L39/$N$1)*R39)</f>
        <v>4456189.903846154</v>
      </c>
      <c r="U39" s="490">
        <f>VLOOKUP(C39,'Công tổng'!$C$53:$BY$85,75,0)-N39</f>
        <v>-4375168.269230769</v>
      </c>
      <c r="V39" s="490">
        <f>+L39*G39</f>
        <v>0</v>
      </c>
      <c r="W39" s="951">
        <f>(L39)*G39</f>
        <v>0</v>
      </c>
      <c r="X39" s="950">
        <f>(100%-VLOOKUP(C39,'chuyên cần'!$C$7:$AP$52,40,FALSE))*$X$3</f>
        <v>300000</v>
      </c>
      <c r="Y39" s="490"/>
      <c r="Z39" s="490">
        <f>SUM(W39:Y39)</f>
        <v>300000</v>
      </c>
      <c r="AA39" s="492">
        <f>Z39+U39+T39</f>
        <v>381021.63461538497</v>
      </c>
      <c r="AB39" s="674">
        <f>VLOOKUP(C39,'ung luong'!C107:F151,4,0)</f>
        <v>4000000</v>
      </c>
      <c r="AC39" s="492">
        <f>AD39*$AC$2</f>
        <v>480585</v>
      </c>
      <c r="AD39" s="492">
        <v>4577000</v>
      </c>
      <c r="AE39" s="674"/>
      <c r="AF39" s="492">
        <f>AA39-AB39-AC39</f>
        <v>-4099563.365384615</v>
      </c>
      <c r="AG39" s="674">
        <f>VLOOKUP(C39,CC!$C$5:$BV$50,72,0)*22000</f>
        <v>0</v>
      </c>
      <c r="AH39" s="674">
        <f>VLOOKUP(C39,CC!$C$5:$BW$50,73,0)*22000</f>
        <v>0</v>
      </c>
      <c r="AI39" s="492"/>
      <c r="AJ39" s="492">
        <f>ROUND(AF39,-3)+AI39+AG39+AH39+AE39</f>
        <v>-4100000</v>
      </c>
      <c r="AK39" s="674">
        <f t="shared" si="37"/>
        <v>-4100000</v>
      </c>
      <c r="AL39" s="519">
        <f>200-73</f>
        <v>127</v>
      </c>
      <c r="AM39" s="519"/>
      <c r="AN39" s="519"/>
      <c r="AO39" s="519"/>
      <c r="AP39" s="519"/>
      <c r="AQ39" s="519"/>
      <c r="AR39" s="519"/>
      <c r="AS39" s="519"/>
      <c r="AT39" s="519"/>
      <c r="AU39" s="519"/>
      <c r="AV39" s="519"/>
      <c r="AW39" s="519"/>
      <c r="AX39" s="519"/>
      <c r="AY39" s="519"/>
      <c r="AZ39" s="519"/>
      <c r="BA39" s="519"/>
      <c r="BB39" s="519"/>
      <c r="BC39" s="519"/>
      <c r="BD39" s="519"/>
      <c r="BE39" s="519"/>
      <c r="BF39" s="519"/>
      <c r="BG39" s="519"/>
      <c r="BH39" s="519"/>
      <c r="BI39" s="519"/>
      <c r="BJ39" s="519"/>
      <c r="BK39" s="519"/>
      <c r="BL39" s="519"/>
      <c r="BM39" s="519"/>
      <c r="BN39" s="519"/>
      <c r="BO39" s="519"/>
      <c r="BP39" s="519"/>
      <c r="BQ39" s="519"/>
      <c r="BR39" s="519"/>
      <c r="BS39" s="519"/>
      <c r="BT39" s="519"/>
      <c r="BU39" s="519"/>
      <c r="BV39" s="519"/>
      <c r="BW39" s="519"/>
      <c r="BX39" s="519"/>
      <c r="BY39" s="519"/>
      <c r="BZ39" s="519"/>
      <c r="CA39" s="519"/>
      <c r="CB39" s="519"/>
      <c r="CC39" s="519"/>
      <c r="CD39" s="519"/>
      <c r="CE39" s="519"/>
      <c r="CF39" s="519"/>
      <c r="CG39" s="519"/>
      <c r="CH39" s="519"/>
      <c r="CI39" s="519"/>
      <c r="CJ39" s="519"/>
      <c r="CK39" s="519"/>
      <c r="CL39" s="519"/>
      <c r="CM39" s="519"/>
      <c r="CN39" s="519"/>
      <c r="CO39" s="519"/>
      <c r="CP39" s="519"/>
      <c r="CQ39" s="519"/>
      <c r="CR39" s="519"/>
      <c r="CS39" s="519"/>
      <c r="CT39" s="519"/>
      <c r="CU39" s="519"/>
      <c r="CV39" s="519"/>
      <c r="CW39" s="519"/>
      <c r="CX39" s="519"/>
      <c r="CY39" s="519"/>
      <c r="CZ39" s="519"/>
      <c r="DA39" s="519"/>
      <c r="DB39" s="519"/>
      <c r="DC39" s="519"/>
      <c r="DD39" s="519"/>
      <c r="DE39" s="519"/>
      <c r="DF39" s="519"/>
      <c r="DG39" s="519"/>
      <c r="DH39" s="519"/>
      <c r="DI39" s="519"/>
      <c r="DJ39" s="519"/>
      <c r="DK39" s="519"/>
      <c r="DL39" s="519"/>
      <c r="DM39" s="519"/>
      <c r="DN39" s="519"/>
      <c r="DO39" s="519"/>
      <c r="DP39" s="519"/>
      <c r="DQ39" s="519"/>
      <c r="DR39" s="519"/>
      <c r="DS39" s="519"/>
      <c r="DT39" s="519"/>
      <c r="DU39" s="519"/>
      <c r="DV39" s="519"/>
      <c r="DW39" s="519"/>
      <c r="DX39" s="519"/>
      <c r="DY39" s="519"/>
      <c r="DZ39" s="519"/>
    </row>
    <row r="40" spans="1:130 2330:2330" s="577" customFormat="1" ht="26.25" customHeight="1">
      <c r="A40" s="437">
        <v>35</v>
      </c>
      <c r="B40" s="437" t="s">
        <v>152</v>
      </c>
      <c r="C40" s="437" t="s">
        <v>86</v>
      </c>
      <c r="D40" s="437" t="s">
        <v>207</v>
      </c>
      <c r="E40" s="488">
        <v>41786</v>
      </c>
      <c r="F40" s="493">
        <f>IF(IF(E40="",0,ROUND(($P$2-E40)/30,0))&lt;0,0,IF(E40="",0,ROUND(($P$2-E40)/30,0)))</f>
        <v>64</v>
      </c>
      <c r="G40" s="494">
        <f>IF(VLOOKUP(F40,'he so'!C:D,2,0)=0,0,VLOOKUP(F40,'he so'!C:D,2,0))</f>
        <v>0.05</v>
      </c>
      <c r="H40" s="490">
        <f t="shared" si="3"/>
        <v>3745000</v>
      </c>
      <c r="I40" s="489" t="s">
        <v>667</v>
      </c>
      <c r="J40" s="489">
        <v>1</v>
      </c>
      <c r="K40" s="495">
        <v>3745000</v>
      </c>
      <c r="L40" s="490">
        <f>VLOOKUP(I40,'thang luong moi'!B:I,'BANG LUONG 1'!J40+1,0)</f>
        <v>4213125</v>
      </c>
      <c r="M40" s="491">
        <f>VLOOKUP(C40,CC!$C$5:$AJ$67,34,0)</f>
        <v>27</v>
      </c>
      <c r="N40" s="951">
        <f>L40/$N$1*M40</f>
        <v>4375168.269230769</v>
      </c>
      <c r="O40" s="490">
        <f>VLOOKUP(C40,CC!$C$5:$AM$67,36,0)</f>
        <v>0.5</v>
      </c>
      <c r="P40" s="490">
        <f>VLOOKUP(C40,CC!$C$5:$BS$67,69,0)</f>
        <v>0</v>
      </c>
      <c r="Q40" s="490">
        <f>VLOOKUP(C40,CC!$C$5:$BT$67,70,0)</f>
        <v>0</v>
      </c>
      <c r="R40" s="490">
        <f>VLOOKUP(C40,CC!$C$5:$AM$67,37,0)</f>
        <v>0</v>
      </c>
      <c r="S40" s="490">
        <f>VLOOKUP(C40,CC!$C$5:$AM$67,35,0)</f>
        <v>0</v>
      </c>
      <c r="T40" s="961">
        <f t="shared" si="46"/>
        <v>4456189.903846154</v>
      </c>
      <c r="U40" s="490">
        <f>VLOOKUP(C40,'Công tổng'!$C$53:$BY$85,75,0)-N40</f>
        <v>-4375168.269230769</v>
      </c>
      <c r="V40" s="490">
        <f>+L40*G40</f>
        <v>210656.25</v>
      </c>
      <c r="W40" s="951">
        <f>(L40)*G40</f>
        <v>210656.25</v>
      </c>
      <c r="X40" s="950">
        <f>(100%-VLOOKUP(C40,'chuyên cần'!$C$7:$AP$52,40,FALSE))*$X$3</f>
        <v>300000</v>
      </c>
      <c r="Y40" s="490"/>
      <c r="Z40" s="490">
        <f>SUM(W40:Y40)</f>
        <v>510656.25</v>
      </c>
      <c r="AA40" s="492">
        <f>Z40+U40+T40</f>
        <v>591677.88461538497</v>
      </c>
      <c r="AB40" s="674">
        <f>VLOOKUP(C40,'ung luong'!C108:F152,4,0)</f>
        <v>4000000</v>
      </c>
      <c r="AC40" s="492">
        <f>AD40*$AC$2</f>
        <v>480585</v>
      </c>
      <c r="AD40" s="492">
        <v>4577000</v>
      </c>
      <c r="AE40" s="674"/>
      <c r="AF40" s="492">
        <f>AA40-AB40-AC40</f>
        <v>-3888907.115384615</v>
      </c>
      <c r="AG40" s="674">
        <f>VLOOKUP(C40,CC!$C$5:$BV$50,72,0)*22000</f>
        <v>0</v>
      </c>
      <c r="AH40" s="674">
        <f>VLOOKUP(C40,CC!$C$5:$BW$50,73,0)*22000</f>
        <v>0</v>
      </c>
      <c r="AI40" s="492"/>
      <c r="AJ40" s="492">
        <f t="shared" ref="AJ40:AJ43" si="47">ROUND(AF40,-3)+AI40+AG40+AH40+AE40</f>
        <v>-3889000</v>
      </c>
      <c r="AK40" s="674">
        <f t="shared" si="37"/>
        <v>-3889000</v>
      </c>
      <c r="AL40" s="576"/>
      <c r="AM40" s="576"/>
      <c r="AN40" s="576"/>
      <c r="AO40" s="576"/>
      <c r="AP40" s="576"/>
      <c r="AQ40" s="576"/>
      <c r="AR40" s="576"/>
      <c r="AS40" s="576"/>
      <c r="AT40" s="576"/>
      <c r="AU40" s="576"/>
      <c r="AV40" s="576"/>
      <c r="AW40" s="576"/>
      <c r="AX40" s="576"/>
      <c r="AY40" s="576"/>
      <c r="AZ40" s="576"/>
      <c r="BA40" s="576"/>
      <c r="BB40" s="576"/>
      <c r="BC40" s="576"/>
      <c r="BD40" s="576"/>
      <c r="BE40" s="576"/>
      <c r="BF40" s="576"/>
      <c r="BG40" s="576"/>
      <c r="BH40" s="576"/>
      <c r="BI40" s="576"/>
      <c r="BJ40" s="576"/>
      <c r="BK40" s="576"/>
      <c r="BL40" s="576"/>
      <c r="BM40" s="576"/>
      <c r="BN40" s="576"/>
      <c r="BO40" s="576"/>
      <c r="BP40" s="576"/>
      <c r="BQ40" s="576"/>
      <c r="BR40" s="576"/>
      <c r="BS40" s="576"/>
      <c r="BT40" s="576"/>
      <c r="BU40" s="576"/>
      <c r="BV40" s="576"/>
      <c r="BW40" s="576"/>
      <c r="BX40" s="576"/>
      <c r="BY40" s="576"/>
      <c r="BZ40" s="576"/>
      <c r="CA40" s="576"/>
      <c r="CB40" s="576"/>
      <c r="CC40" s="576"/>
      <c r="CD40" s="576"/>
      <c r="CE40" s="576"/>
      <c r="CF40" s="576"/>
      <c r="CG40" s="576"/>
      <c r="CH40" s="576"/>
      <c r="CI40" s="576"/>
      <c r="CJ40" s="576"/>
      <c r="CK40" s="576"/>
      <c r="CL40" s="576"/>
      <c r="CM40" s="576"/>
      <c r="CN40" s="576"/>
      <c r="CO40" s="576"/>
      <c r="CP40" s="576"/>
      <c r="CQ40" s="576"/>
      <c r="CR40" s="576"/>
      <c r="CS40" s="576"/>
      <c r="CT40" s="576"/>
      <c r="CU40" s="576"/>
      <c r="CV40" s="576"/>
      <c r="CW40" s="576"/>
      <c r="CX40" s="576"/>
      <c r="CY40" s="576"/>
      <c r="CZ40" s="576"/>
      <c r="DA40" s="576"/>
      <c r="DB40" s="576"/>
      <c r="DC40" s="576"/>
      <c r="DD40" s="576"/>
      <c r="DE40" s="576"/>
      <c r="DF40" s="576"/>
      <c r="DG40" s="576"/>
      <c r="DH40" s="576"/>
      <c r="DI40" s="576"/>
      <c r="DJ40" s="576"/>
      <c r="DK40" s="576"/>
      <c r="DL40" s="576"/>
      <c r="DM40" s="576"/>
      <c r="DN40" s="576"/>
      <c r="DO40" s="576"/>
      <c r="DP40" s="576"/>
      <c r="DQ40" s="576"/>
      <c r="DR40" s="576"/>
      <c r="DS40" s="576"/>
      <c r="DT40" s="576"/>
      <c r="DU40" s="576"/>
      <c r="DV40" s="576"/>
      <c r="DW40" s="576"/>
      <c r="DX40" s="576"/>
      <c r="DY40" s="576"/>
      <c r="DZ40" s="576"/>
      <c r="CKP40" s="520"/>
    </row>
    <row r="41" spans="1:130 2330:2330" s="520" customFormat="1" ht="21" customHeight="1">
      <c r="A41" s="437">
        <v>37</v>
      </c>
      <c r="B41" s="437" t="s">
        <v>154</v>
      </c>
      <c r="C41" s="437" t="s">
        <v>78</v>
      </c>
      <c r="D41" s="437" t="s">
        <v>207</v>
      </c>
      <c r="E41" s="488">
        <v>40869</v>
      </c>
      <c r="F41" s="493">
        <f>IF(IF(E41="",0,ROUND(($P$2-E41)/30,0))&lt;0,0,IF(E41="",0,ROUND(($P$2-E41)/30,0)))</f>
        <v>94</v>
      </c>
      <c r="G41" s="494">
        <f>IF(VLOOKUP(F41,'he so'!C:D,2,0)=0,0,VLOOKUP(F41,'he so'!C:D,2,0))</f>
        <v>7.0000000000000007E-2</v>
      </c>
      <c r="H41" s="490">
        <f t="shared" si="3"/>
        <v>3745000</v>
      </c>
      <c r="I41" s="489" t="s">
        <v>667</v>
      </c>
      <c r="J41" s="489">
        <v>1</v>
      </c>
      <c r="K41" s="495">
        <v>3745000</v>
      </c>
      <c r="L41" s="490">
        <f>VLOOKUP(I41,'thang luong moi'!B:I,'BANG LUONG 1'!J41+1,0)</f>
        <v>4213125</v>
      </c>
      <c r="M41" s="491">
        <f>VLOOKUP(C41,CC!$C$5:$AJ$67,34,0)</f>
        <v>27</v>
      </c>
      <c r="N41" s="951">
        <f>L41/$N$1*M41</f>
        <v>4375168.269230769</v>
      </c>
      <c r="O41" s="490">
        <f>VLOOKUP(C41,CC!$C$5:$AM$67,36,0)</f>
        <v>0</v>
      </c>
      <c r="P41" s="490">
        <f>VLOOKUP(C41,CC!$C$5:$BS$67,69,0)</f>
        <v>0</v>
      </c>
      <c r="Q41" s="490">
        <f>VLOOKUP(C41,CC!$C$5:$BT$67,70,0)</f>
        <v>0</v>
      </c>
      <c r="R41" s="490">
        <f>VLOOKUP(C41,CC!$C$5:$AM$67,37,0)</f>
        <v>0</v>
      </c>
      <c r="S41" s="490">
        <f>VLOOKUP(C41,CC!$C$5:$AM$67,35,0)</f>
        <v>0</v>
      </c>
      <c r="T41" s="961">
        <f t="shared" si="46"/>
        <v>4375168.269230769</v>
      </c>
      <c r="U41" s="490">
        <f>VLOOKUP(C41,'Công tổng'!$C$53:$BY$94,75,0)-N41</f>
        <v>-4375168.269230769</v>
      </c>
      <c r="V41" s="490">
        <f>+L41*G41</f>
        <v>294918.75</v>
      </c>
      <c r="W41" s="951">
        <f>(L41)*G41</f>
        <v>294918.75</v>
      </c>
      <c r="X41" s="950">
        <f>(100%-VLOOKUP(C41,'chuyên cần'!$C$7:$AP$52,40,FALSE))*$X$3</f>
        <v>300000</v>
      </c>
      <c r="Y41" s="490"/>
      <c r="Z41" s="490">
        <f>SUM(W41:Y41)</f>
        <v>594918.75</v>
      </c>
      <c r="AA41" s="492">
        <f>Z41+U41+T41</f>
        <v>594918.75</v>
      </c>
      <c r="AB41" s="674">
        <f>VLOOKUP(C41,'ung luong'!C109:F154,4,0)</f>
        <v>4000000</v>
      </c>
      <c r="AC41" s="492">
        <f>AD41*$AC$2</f>
        <v>480585</v>
      </c>
      <c r="AD41" s="492">
        <v>4577000</v>
      </c>
      <c r="AE41" s="674"/>
      <c r="AF41" s="492">
        <f>AA41-AB41-AC41</f>
        <v>-3885666.25</v>
      </c>
      <c r="AG41" s="674">
        <f>VLOOKUP(C41,CC!$C$5:$BV$50,72,0)*22000</f>
        <v>0</v>
      </c>
      <c r="AH41" s="674">
        <f>VLOOKUP(C41,CC!$C$5:$BW$50,73,0)*22000</f>
        <v>0</v>
      </c>
      <c r="AI41" s="492"/>
      <c r="AJ41" s="492">
        <f t="shared" si="47"/>
        <v>-3886000</v>
      </c>
      <c r="AK41" s="674">
        <f t="shared" si="37"/>
        <v>-3886000</v>
      </c>
      <c r="AL41" s="519"/>
      <c r="AM41" s="519"/>
      <c r="AN41" s="519"/>
      <c r="AO41" s="519"/>
      <c r="AP41" s="519"/>
      <c r="AQ41" s="519"/>
      <c r="AR41" s="519"/>
      <c r="AS41" s="519"/>
      <c r="AT41" s="519"/>
      <c r="AU41" s="519"/>
      <c r="AV41" s="519"/>
      <c r="AW41" s="519"/>
      <c r="AX41" s="519"/>
      <c r="AY41" s="519"/>
      <c r="AZ41" s="519"/>
      <c r="BA41" s="519"/>
      <c r="BB41" s="519"/>
      <c r="BC41" s="519"/>
      <c r="BD41" s="519"/>
      <c r="BE41" s="519"/>
      <c r="BF41" s="519"/>
      <c r="BG41" s="519"/>
      <c r="BH41" s="519"/>
      <c r="BI41" s="519"/>
      <c r="BJ41" s="519"/>
      <c r="BK41" s="519"/>
      <c r="BL41" s="519"/>
      <c r="BM41" s="519"/>
      <c r="BN41" s="519"/>
      <c r="BO41" s="519"/>
      <c r="BP41" s="519"/>
      <c r="BQ41" s="519"/>
      <c r="BR41" s="519"/>
      <c r="BS41" s="519"/>
      <c r="BT41" s="519"/>
      <c r="BU41" s="519"/>
      <c r="BV41" s="519"/>
      <c r="BW41" s="519"/>
      <c r="BX41" s="519"/>
      <c r="BY41" s="519"/>
      <c r="BZ41" s="519"/>
      <c r="CA41" s="519"/>
      <c r="CB41" s="519"/>
      <c r="CC41" s="519"/>
      <c r="CD41" s="519"/>
      <c r="CE41" s="519"/>
      <c r="CF41" s="519"/>
      <c r="CG41" s="519"/>
      <c r="CH41" s="519"/>
      <c r="CI41" s="519"/>
      <c r="CJ41" s="519"/>
      <c r="CK41" s="519"/>
      <c r="CL41" s="519"/>
      <c r="CM41" s="519"/>
      <c r="CN41" s="519"/>
      <c r="CO41" s="519"/>
      <c r="CP41" s="519"/>
      <c r="CQ41" s="519"/>
      <c r="CR41" s="519"/>
      <c r="CS41" s="519"/>
      <c r="CT41" s="519"/>
      <c r="CU41" s="519"/>
      <c r="CV41" s="519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19"/>
      <c r="DS41" s="519"/>
      <c r="DT41" s="519"/>
      <c r="DU41" s="519"/>
      <c r="DV41" s="519"/>
      <c r="DW41" s="519"/>
      <c r="DX41" s="519"/>
      <c r="DY41" s="519"/>
      <c r="DZ41" s="519"/>
    </row>
    <row r="42" spans="1:130 2330:2330" s="577" customFormat="1" ht="21" customHeight="1">
      <c r="A42" s="437">
        <v>39</v>
      </c>
      <c r="B42" s="437" t="s">
        <v>156</v>
      </c>
      <c r="C42" s="437" t="s">
        <v>821</v>
      </c>
      <c r="D42" s="437" t="s">
        <v>207</v>
      </c>
      <c r="E42" s="488">
        <v>43453</v>
      </c>
      <c r="F42" s="493">
        <f t="shared" ref="F42:F45" si="48">IF(IF(E42="",0,ROUND(($P$2-E42)/30,0))&lt;0,0,IF(E42="",0,ROUND(($P$2-E42)/30,0)))</f>
        <v>8</v>
      </c>
      <c r="G42" s="494">
        <f>IF(VLOOKUP(F42,'he so'!C:D,2,0)=0,0,VLOOKUP(F42,'he so'!C:D,2,0))</f>
        <v>0</v>
      </c>
      <c r="H42" s="490">
        <f t="shared" si="3"/>
        <v>3745000</v>
      </c>
      <c r="I42" s="489" t="s">
        <v>667</v>
      </c>
      <c r="J42" s="489">
        <v>1</v>
      </c>
      <c r="K42" s="495">
        <v>3745000</v>
      </c>
      <c r="L42" s="490">
        <f>VLOOKUP(I42,'thang luong moi'!B:I,'BANG LUONG 1'!J42+1,0)</f>
        <v>4213125</v>
      </c>
      <c r="M42" s="491">
        <f>VLOOKUP(C42,CC!$C$5:$AJ$67,34,0)</f>
        <v>27</v>
      </c>
      <c r="N42" s="951">
        <f t="shared" ref="N42:N43" si="49">L42/$N$1*M42</f>
        <v>4375168.269230769</v>
      </c>
      <c r="O42" s="490">
        <f>VLOOKUP(C42,CC!$C$5:$AM$67,36,0)</f>
        <v>0</v>
      </c>
      <c r="P42" s="490">
        <f>VLOOKUP(C42,CC!$C$5:$BS$67,69,0)</f>
        <v>0</v>
      </c>
      <c r="Q42" s="490">
        <f>VLOOKUP(C42,CC!$C$5:$BT$67,70,0)</f>
        <v>0</v>
      </c>
      <c r="R42" s="490">
        <f>VLOOKUP(C42,CC!$C$5:$AM$67,37,0)</f>
        <v>0</v>
      </c>
      <c r="S42" s="490">
        <f>VLOOKUP(C42,CC!$C$5:$AM$67,35,0)</f>
        <v>0</v>
      </c>
      <c r="T42" s="961">
        <f t="shared" si="46"/>
        <v>4375168.269230769</v>
      </c>
      <c r="U42" s="490">
        <f>VLOOKUP(C42,'Công tổng'!$C$53:$BY$94,75,0)-N42</f>
        <v>-4375168.269230769</v>
      </c>
      <c r="V42" s="490">
        <f t="shared" ref="V42:V43" si="50">+L42*G42</f>
        <v>0</v>
      </c>
      <c r="W42" s="951">
        <f t="shared" ref="W42:W43" si="51">(L42)*G42</f>
        <v>0</v>
      </c>
      <c r="X42" s="950">
        <f>(100%-VLOOKUP(C42,'chuyên cần'!$C$7:$AP$52,40,FALSE))*$X$3</f>
        <v>300000</v>
      </c>
      <c r="Y42" s="490"/>
      <c r="Z42" s="490">
        <f t="shared" ref="Z42:Z43" si="52">SUM(W42:Y42)</f>
        <v>300000</v>
      </c>
      <c r="AA42" s="492">
        <f t="shared" ref="AA42:AA43" si="53">Z42+U42+T42</f>
        <v>300000</v>
      </c>
      <c r="AB42" s="674">
        <f>VLOOKUP(C42,'ung luong'!C110:F124,4,0)</f>
        <v>4000000</v>
      </c>
      <c r="AC42" s="492">
        <f t="shared" ref="AC42:AC43" si="54">AD42*$AC$2</f>
        <v>0</v>
      </c>
      <c r="AD42" s="492"/>
      <c r="AE42" s="674"/>
      <c r="AF42" s="492">
        <f t="shared" ref="AF42:AF43" si="55">AA42-AB42-AC42</f>
        <v>-3700000</v>
      </c>
      <c r="AG42" s="674">
        <f>VLOOKUP(C42,CC!$C$5:$BV$50,72,0)*22000</f>
        <v>0</v>
      </c>
      <c r="AH42" s="674">
        <f>VLOOKUP(C42,CC!$C$5:$BW$50,73,0)*22000</f>
        <v>0</v>
      </c>
      <c r="AI42" s="492"/>
      <c r="AJ42" s="492">
        <f t="shared" si="47"/>
        <v>-3700000</v>
      </c>
      <c r="AK42" s="674">
        <f t="shared" si="37"/>
        <v>-3700000</v>
      </c>
      <c r="AL42" s="576"/>
      <c r="AM42" s="576"/>
      <c r="AN42" s="576"/>
      <c r="AO42" s="576"/>
      <c r="AP42" s="576"/>
      <c r="AQ42" s="576"/>
      <c r="AR42" s="576"/>
      <c r="AS42" s="576"/>
      <c r="AT42" s="576"/>
      <c r="AU42" s="576"/>
      <c r="AV42" s="576"/>
      <c r="AW42" s="576"/>
      <c r="AX42" s="576"/>
      <c r="AY42" s="576"/>
      <c r="AZ42" s="576"/>
      <c r="BA42" s="576"/>
      <c r="BB42" s="576"/>
      <c r="BC42" s="576"/>
      <c r="BD42" s="576"/>
      <c r="BE42" s="576"/>
      <c r="BF42" s="576"/>
      <c r="BG42" s="576"/>
      <c r="BH42" s="576"/>
      <c r="BI42" s="576"/>
      <c r="BJ42" s="576"/>
      <c r="BK42" s="576"/>
      <c r="BL42" s="576"/>
      <c r="BM42" s="576"/>
      <c r="BN42" s="576"/>
      <c r="BO42" s="576"/>
      <c r="BP42" s="576"/>
      <c r="BQ42" s="576"/>
      <c r="BR42" s="576"/>
      <c r="BS42" s="576"/>
      <c r="BT42" s="576"/>
      <c r="BU42" s="576"/>
      <c r="BV42" s="576"/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6"/>
      <c r="CV42" s="576"/>
      <c r="CW42" s="576"/>
      <c r="CX42" s="576"/>
      <c r="CY42" s="576"/>
      <c r="CZ42" s="576"/>
      <c r="DA42" s="576"/>
      <c r="DB42" s="576"/>
      <c r="DC42" s="576"/>
      <c r="DD42" s="576"/>
      <c r="DE42" s="576"/>
      <c r="DF42" s="576"/>
      <c r="DG42" s="576"/>
      <c r="DH42" s="576"/>
      <c r="DI42" s="576"/>
      <c r="DJ42" s="576"/>
      <c r="DK42" s="576"/>
      <c r="DL42" s="576"/>
      <c r="DM42" s="576"/>
      <c r="DN42" s="576"/>
      <c r="DO42" s="576"/>
      <c r="DP42" s="576"/>
      <c r="DQ42" s="576"/>
      <c r="DR42" s="576"/>
      <c r="DS42" s="576"/>
      <c r="DT42" s="576"/>
      <c r="DU42" s="576"/>
      <c r="DV42" s="576"/>
      <c r="DW42" s="576"/>
      <c r="DX42" s="576"/>
      <c r="DY42" s="576"/>
      <c r="DZ42" s="576"/>
      <c r="CKP42" s="520"/>
    </row>
    <row r="43" spans="1:130 2330:2330" s="577" customFormat="1" ht="21" customHeight="1">
      <c r="A43" s="437">
        <v>41</v>
      </c>
      <c r="B43" s="437" t="s">
        <v>158</v>
      </c>
      <c r="C43" s="437" t="s">
        <v>822</v>
      </c>
      <c r="D43" s="437" t="s">
        <v>207</v>
      </c>
      <c r="E43" s="488">
        <v>43458</v>
      </c>
      <c r="F43" s="493">
        <f t="shared" si="48"/>
        <v>8</v>
      </c>
      <c r="G43" s="494">
        <f>IF(VLOOKUP(F43,'he so'!C:D,2,0)=0,0,VLOOKUP(F43,'he so'!C:D,2,0))</f>
        <v>0</v>
      </c>
      <c r="H43" s="490">
        <f t="shared" si="3"/>
        <v>3745000</v>
      </c>
      <c r="I43" s="489" t="s">
        <v>667</v>
      </c>
      <c r="J43" s="489">
        <v>1</v>
      </c>
      <c r="K43" s="495">
        <v>3745000</v>
      </c>
      <c r="L43" s="490">
        <f>VLOOKUP(I43,'thang luong moi'!B:I,'BANG LUONG 1'!J43+1,0)</f>
        <v>4213125</v>
      </c>
      <c r="M43" s="491">
        <f>VLOOKUP(C43,CC!$C$5:$AJ$67,34,0)</f>
        <v>27</v>
      </c>
      <c r="N43" s="951">
        <f t="shared" si="49"/>
        <v>4375168.269230769</v>
      </c>
      <c r="O43" s="490">
        <f>VLOOKUP(C43,CC!$C$5:$AM$67,36,0)</f>
        <v>0</v>
      </c>
      <c r="P43" s="490">
        <f>VLOOKUP(C43,CC!$C$5:$BS$67,69,0)</f>
        <v>0</v>
      </c>
      <c r="Q43" s="490">
        <f>VLOOKUP(C43,CC!$C$5:$BT$67,70,0)</f>
        <v>0</v>
      </c>
      <c r="R43" s="490">
        <f>VLOOKUP(C43,CC!$C$5:$AM$67,37,0)</f>
        <v>0</v>
      </c>
      <c r="S43" s="490">
        <f>VLOOKUP(C43,CC!$C$5:$AM$67,35,0)</f>
        <v>0</v>
      </c>
      <c r="T43" s="961">
        <f t="shared" si="46"/>
        <v>4375168.269230769</v>
      </c>
      <c r="U43" s="490">
        <f>VLOOKUP(C43,'Công tổng'!$C$53:$BY$94,75,0)-N43</f>
        <v>-4375168.269230769</v>
      </c>
      <c r="V43" s="490">
        <f t="shared" si="50"/>
        <v>0</v>
      </c>
      <c r="W43" s="951">
        <f t="shared" si="51"/>
        <v>0</v>
      </c>
      <c r="X43" s="950">
        <f>(100%-VLOOKUP(C43,'chuyên cần'!$C$7:$AP$52,40,FALSE))*$X$3</f>
        <v>300000</v>
      </c>
      <c r="Y43" s="490"/>
      <c r="Z43" s="490">
        <f t="shared" si="52"/>
        <v>300000</v>
      </c>
      <c r="AA43" s="492">
        <f t="shared" si="53"/>
        <v>300000</v>
      </c>
      <c r="AB43" s="674">
        <f>VLOOKUP(C43,'ung luong'!C111:F126,4,0)</f>
        <v>4000000</v>
      </c>
      <c r="AC43" s="492">
        <f t="shared" si="54"/>
        <v>0</v>
      </c>
      <c r="AD43" s="492"/>
      <c r="AE43" s="674"/>
      <c r="AF43" s="492">
        <f t="shared" si="55"/>
        <v>-3700000</v>
      </c>
      <c r="AG43" s="674">
        <f>VLOOKUP(C43,CC!$C$5:$BV$50,72,0)*22000</f>
        <v>0</v>
      </c>
      <c r="AH43" s="674">
        <f>VLOOKUP(C43,CC!$C$5:$BW$50,73,0)*22000</f>
        <v>0</v>
      </c>
      <c r="AI43" s="492"/>
      <c r="AJ43" s="492">
        <f t="shared" si="47"/>
        <v>-3700000</v>
      </c>
      <c r="AK43" s="674">
        <f t="shared" si="37"/>
        <v>-3700000</v>
      </c>
      <c r="AL43" s="576"/>
      <c r="AM43" s="576"/>
      <c r="AN43" s="576"/>
      <c r="AO43" s="576"/>
      <c r="AP43" s="576"/>
      <c r="AQ43" s="576"/>
      <c r="AR43" s="576"/>
      <c r="AS43" s="576"/>
      <c r="AT43" s="576"/>
      <c r="AU43" s="576"/>
      <c r="AV43" s="576"/>
      <c r="AW43" s="576"/>
      <c r="AX43" s="576"/>
      <c r="AY43" s="576"/>
      <c r="AZ43" s="576"/>
      <c r="BA43" s="576"/>
      <c r="BB43" s="576"/>
      <c r="BC43" s="576"/>
      <c r="BD43" s="576"/>
      <c r="BE43" s="576"/>
      <c r="BF43" s="576"/>
      <c r="BG43" s="576"/>
      <c r="BH43" s="576"/>
      <c r="BI43" s="576"/>
      <c r="BJ43" s="576"/>
      <c r="BK43" s="576"/>
      <c r="BL43" s="576"/>
      <c r="BM43" s="576"/>
      <c r="BN43" s="576"/>
      <c r="BO43" s="576"/>
      <c r="BP43" s="576"/>
      <c r="BQ43" s="576"/>
      <c r="BR43" s="576"/>
      <c r="BS43" s="576"/>
      <c r="BT43" s="576"/>
      <c r="BU43" s="576"/>
      <c r="BV43" s="576"/>
      <c r="BW43" s="576"/>
      <c r="BX43" s="576"/>
      <c r="BY43" s="576"/>
      <c r="BZ43" s="576"/>
      <c r="CA43" s="576"/>
      <c r="CB43" s="576"/>
      <c r="CC43" s="576"/>
      <c r="CD43" s="576"/>
      <c r="CE43" s="576"/>
      <c r="CF43" s="576"/>
      <c r="CG43" s="576"/>
      <c r="CH43" s="576"/>
      <c r="CI43" s="576"/>
      <c r="CJ43" s="576"/>
      <c r="CK43" s="576"/>
      <c r="CL43" s="576"/>
      <c r="CM43" s="576"/>
      <c r="CN43" s="576"/>
      <c r="CO43" s="576"/>
      <c r="CP43" s="576"/>
      <c r="CQ43" s="576"/>
      <c r="CR43" s="576"/>
      <c r="CS43" s="576"/>
      <c r="CT43" s="576"/>
      <c r="CU43" s="576"/>
      <c r="CV43" s="576"/>
      <c r="CW43" s="576"/>
      <c r="CX43" s="576"/>
      <c r="CY43" s="576"/>
      <c r="CZ43" s="576"/>
      <c r="DA43" s="576"/>
      <c r="DB43" s="576"/>
      <c r="DC43" s="576"/>
      <c r="DD43" s="576"/>
      <c r="DE43" s="576"/>
      <c r="DF43" s="576"/>
      <c r="DG43" s="576"/>
      <c r="DH43" s="576"/>
      <c r="DI43" s="576"/>
      <c r="DJ43" s="576"/>
      <c r="DK43" s="576"/>
      <c r="DL43" s="576"/>
      <c r="DM43" s="576"/>
      <c r="DN43" s="576"/>
      <c r="DO43" s="576"/>
      <c r="DP43" s="576"/>
      <c r="DQ43" s="576"/>
      <c r="DR43" s="576"/>
      <c r="DS43" s="576"/>
      <c r="DT43" s="576"/>
      <c r="DU43" s="576"/>
      <c r="DV43" s="576"/>
      <c r="DW43" s="576"/>
      <c r="DX43" s="576"/>
      <c r="DY43" s="576"/>
      <c r="DZ43" s="576"/>
      <c r="CKP43" s="520"/>
    </row>
    <row r="44" spans="1:130 2330:2330" s="577" customFormat="1" ht="21" customHeight="1">
      <c r="A44" s="437">
        <v>45</v>
      </c>
      <c r="B44" s="437" t="s">
        <v>162</v>
      </c>
      <c r="C44" s="437" t="s">
        <v>831</v>
      </c>
      <c r="D44" s="437" t="s">
        <v>207</v>
      </c>
      <c r="E44" s="488">
        <v>43523</v>
      </c>
      <c r="F44" s="493">
        <f t="shared" si="48"/>
        <v>6</v>
      </c>
      <c r="G44" s="494">
        <f>IF(VLOOKUP(F44,'he so'!C:D,2,0)=0,0,VLOOKUP(F44,'he so'!C:D,2,0))</f>
        <v>0</v>
      </c>
      <c r="H44" s="490">
        <f t="shared" si="3"/>
        <v>3745000</v>
      </c>
      <c r="I44" s="489" t="s">
        <v>667</v>
      </c>
      <c r="J44" s="489">
        <v>1</v>
      </c>
      <c r="K44" s="495">
        <v>3745000</v>
      </c>
      <c r="L44" s="490">
        <f>VLOOKUP(I44,'thang luong moi'!B:I,'BANG LUONG 1'!J44+1,0)</f>
        <v>4213125</v>
      </c>
      <c r="M44" s="491">
        <f>VLOOKUP(C44,CC!$C$5:$AJ$67,34,0)</f>
        <v>27</v>
      </c>
      <c r="N44" s="951">
        <f t="shared" ref="N44" si="56">L44/$N$1*M44</f>
        <v>4375168.269230769</v>
      </c>
      <c r="O44" s="490">
        <f>VLOOKUP(C44,CC!$C$5:$AM$67,36,0)</f>
        <v>0</v>
      </c>
      <c r="P44" s="490">
        <f>VLOOKUP(C44,CC!$C$5:$BS$67,69,0)</f>
        <v>0</v>
      </c>
      <c r="Q44" s="490">
        <f>VLOOKUP(C44,CC!$C$5:$BT$67,70,0)</f>
        <v>0</v>
      </c>
      <c r="R44" s="490">
        <f>VLOOKUP(C44,CC!$C$5:$AM$67,37,0)</f>
        <v>0</v>
      </c>
      <c r="S44" s="490">
        <f>VLOOKUP(C44,CC!$C$5:$AM$67,35,0)</f>
        <v>0</v>
      </c>
      <c r="T44" s="961">
        <f t="shared" si="46"/>
        <v>4375168.269230769</v>
      </c>
      <c r="U44" s="490">
        <f>VLOOKUP(C44,'Công tổng'!$C$53:$BY$94,75,0)-N44</f>
        <v>-4375168.269230769</v>
      </c>
      <c r="V44" s="490">
        <f t="shared" ref="V44" si="57">+L44*G44</f>
        <v>0</v>
      </c>
      <c r="W44" s="951">
        <f t="shared" ref="W44" si="58">(L44)*G44</f>
        <v>0</v>
      </c>
      <c r="X44" s="950">
        <f>(100%-VLOOKUP(C44,'chuyên cần'!$C$7:$AP$52,40,FALSE))*$X$3</f>
        <v>300000</v>
      </c>
      <c r="Y44" s="490"/>
      <c r="Z44" s="490">
        <f t="shared" ref="Z44" si="59">SUM(W44:Y44)</f>
        <v>300000</v>
      </c>
      <c r="AA44" s="492">
        <f t="shared" ref="AA44" si="60">Z44+U44+T44</f>
        <v>300000</v>
      </c>
      <c r="AB44" s="674">
        <f>VLOOKUP(C44,'ung luong'!C112:F129,4,0)</f>
        <v>0</v>
      </c>
      <c r="AC44" s="492">
        <f t="shared" ref="AC44" si="61">AD44*$AC$2</f>
        <v>0</v>
      </c>
      <c r="AD44" s="492"/>
      <c r="AE44" s="674"/>
      <c r="AF44" s="492">
        <f t="shared" ref="AF44" si="62">AA44-AB44-AC44</f>
        <v>300000</v>
      </c>
      <c r="AG44" s="674">
        <f>VLOOKUP(C44,CC!$C$5:$BV$50,72,0)*22000</f>
        <v>0</v>
      </c>
      <c r="AH44" s="674">
        <f>VLOOKUP(C44,CC!$C$5:$BW$50,73,0)*22000</f>
        <v>0</v>
      </c>
      <c r="AI44" s="492"/>
      <c r="AJ44" s="674">
        <f t="shared" ref="AJ44" si="63">ROUND(AF44,-3)+AI44+AG44+AH44+AE44</f>
        <v>300000</v>
      </c>
      <c r="AK44" s="674">
        <f t="shared" si="37"/>
        <v>300000</v>
      </c>
      <c r="AL44" s="576"/>
      <c r="AM44" s="576"/>
      <c r="AN44" s="576"/>
      <c r="AO44" s="576"/>
      <c r="AP44" s="576"/>
      <c r="AQ44" s="576"/>
      <c r="AR44" s="576"/>
      <c r="AS44" s="576"/>
      <c r="AT44" s="576"/>
      <c r="AU44" s="576"/>
      <c r="AV44" s="576"/>
      <c r="AW44" s="576"/>
      <c r="AX44" s="576"/>
      <c r="AY44" s="576"/>
      <c r="AZ44" s="576"/>
      <c r="BA44" s="576"/>
      <c r="BB44" s="576"/>
      <c r="BC44" s="576"/>
      <c r="BD44" s="576"/>
      <c r="BE44" s="576"/>
      <c r="BF44" s="576"/>
      <c r="BG44" s="576"/>
      <c r="BH44" s="576"/>
      <c r="BI44" s="576"/>
      <c r="BJ44" s="576"/>
      <c r="BK44" s="576"/>
      <c r="BL44" s="576"/>
      <c r="BM44" s="576"/>
      <c r="BN44" s="576"/>
      <c r="BO44" s="576"/>
      <c r="BP44" s="576"/>
      <c r="BQ44" s="576"/>
      <c r="BR44" s="576"/>
      <c r="BS44" s="576"/>
      <c r="BT44" s="576"/>
      <c r="BU44" s="576"/>
      <c r="BV44" s="576"/>
      <c r="BW44" s="576"/>
      <c r="BX44" s="576"/>
      <c r="BY44" s="576"/>
      <c r="BZ44" s="576"/>
      <c r="CA44" s="576"/>
      <c r="CB44" s="576"/>
      <c r="CC44" s="576"/>
      <c r="CD44" s="576"/>
      <c r="CE44" s="576"/>
      <c r="CF44" s="576"/>
      <c r="CG44" s="576"/>
      <c r="CH44" s="576"/>
      <c r="CI44" s="576"/>
      <c r="CJ44" s="576"/>
      <c r="CK44" s="576"/>
      <c r="CL44" s="576"/>
      <c r="CM44" s="576"/>
      <c r="CN44" s="576"/>
      <c r="CO44" s="576"/>
      <c r="CP44" s="576"/>
      <c r="CQ44" s="576"/>
      <c r="CR44" s="576"/>
      <c r="CS44" s="576"/>
      <c r="CT44" s="576"/>
      <c r="CU44" s="576"/>
      <c r="CV44" s="576"/>
      <c r="CW44" s="576"/>
      <c r="CX44" s="576"/>
      <c r="CY44" s="576"/>
      <c r="CZ44" s="576"/>
      <c r="DA44" s="576"/>
      <c r="DB44" s="576"/>
      <c r="DC44" s="576"/>
      <c r="DD44" s="576"/>
      <c r="DE44" s="576"/>
      <c r="DF44" s="576"/>
      <c r="DG44" s="576"/>
      <c r="DH44" s="576"/>
      <c r="DI44" s="576"/>
      <c r="DJ44" s="576"/>
      <c r="DK44" s="576"/>
      <c r="DL44" s="576"/>
      <c r="DM44" s="576"/>
      <c r="DN44" s="576"/>
      <c r="DO44" s="576"/>
      <c r="DP44" s="576"/>
      <c r="DQ44" s="576"/>
      <c r="DR44" s="576"/>
      <c r="DS44" s="576"/>
      <c r="DT44" s="576"/>
      <c r="DU44" s="576"/>
      <c r="DV44" s="576"/>
      <c r="DW44" s="576"/>
      <c r="DX44" s="576"/>
      <c r="DY44" s="576"/>
      <c r="DZ44" s="576"/>
      <c r="CKP44" s="520"/>
    </row>
    <row r="45" spans="1:130 2330:2330" s="577" customFormat="1" ht="21" customHeight="1">
      <c r="A45" s="437"/>
      <c r="B45" s="437" t="s">
        <v>166</v>
      </c>
      <c r="C45" s="437" t="s">
        <v>893</v>
      </c>
      <c r="D45" s="437" t="s">
        <v>207</v>
      </c>
      <c r="E45" s="488">
        <v>43648</v>
      </c>
      <c r="F45" s="493">
        <f t="shared" si="48"/>
        <v>2</v>
      </c>
      <c r="G45" s="494">
        <f>IF(VLOOKUP(F45,'he so'!C:D,2,0)=0,0,VLOOKUP(F45,'he so'!C:D,2,0))</f>
        <v>0</v>
      </c>
      <c r="H45" s="490">
        <f t="shared" si="3"/>
        <v>3745000</v>
      </c>
      <c r="I45" s="489" t="s">
        <v>667</v>
      </c>
      <c r="J45" s="489">
        <v>1</v>
      </c>
      <c r="K45" s="495">
        <v>3745000</v>
      </c>
      <c r="L45" s="490">
        <f>VLOOKUP(I45,'thang luong moi'!B:I,'BANG LUONG 1'!J45+1,0)</f>
        <v>4213125</v>
      </c>
      <c r="M45" s="491">
        <f>VLOOKUP(C45,CC!$C$5:$AJ$67,34,0)</f>
        <v>27</v>
      </c>
      <c r="N45" s="951">
        <f t="shared" ref="N45:N46" si="64">L45/$N$1*M45</f>
        <v>4375168.269230769</v>
      </c>
      <c r="O45" s="490">
        <f>VLOOKUP(C45,CC!$C$5:$AM$67,36,0)</f>
        <v>0</v>
      </c>
      <c r="P45" s="490">
        <f>VLOOKUP(C45,CC!$C$5:$BS$67,69,0)</f>
        <v>0</v>
      </c>
      <c r="Q45" s="490">
        <f>VLOOKUP(C45,CC!$C$5:$BT$67,70,0)</f>
        <v>0</v>
      </c>
      <c r="R45" s="490">
        <f>VLOOKUP(C45,CC!$C$5:$AM$67,37,0)</f>
        <v>0</v>
      </c>
      <c r="S45" s="490">
        <f>VLOOKUP(C45,CC!$C$5:$AM$67,35,0)</f>
        <v>0</v>
      </c>
      <c r="T45" s="961">
        <f t="shared" ref="T45" si="65">((L45/$N$1)*M45)+(O45*(L45/$N$1))+((P45/8)*1.5*(L45/$N$1))+((Q45/8)*2*L45/$N$1)+(S45*3*(L45/$N$1)+(L45/$N$1)*R45)</f>
        <v>4375168.269230769</v>
      </c>
      <c r="U45" s="490">
        <f>VLOOKUP(C45,'Công tổng'!$C$53:$BY$94,75,0)-N45</f>
        <v>-4375168.269230769</v>
      </c>
      <c r="V45" s="490">
        <f t="shared" ref="V45" si="66">+L45*G45</f>
        <v>0</v>
      </c>
      <c r="W45" s="951">
        <f t="shared" ref="W45" si="67">(L45)*G45</f>
        <v>0</v>
      </c>
      <c r="X45" s="950">
        <f>(100%-VLOOKUP(C45,'chuyên cần'!$C$7:$AP$52,40,FALSE))*$X$3</f>
        <v>300000</v>
      </c>
      <c r="Y45" s="490"/>
      <c r="Z45" s="490">
        <f t="shared" ref="Z45" si="68">SUM(W45:Y45)</f>
        <v>300000</v>
      </c>
      <c r="AA45" s="492">
        <f t="shared" ref="AA45" si="69">Z45+U45+T45</f>
        <v>300000</v>
      </c>
      <c r="AB45" s="674">
        <f>VLOOKUP(C45,'ung luong'!C113:F130,4,0)</f>
        <v>4000000</v>
      </c>
      <c r="AC45" s="492">
        <f t="shared" ref="AC45" si="70">AD45*$AC$2</f>
        <v>0</v>
      </c>
      <c r="AD45" s="492"/>
      <c r="AE45" s="674"/>
      <c r="AF45" s="492">
        <f t="shared" ref="AF45" si="71">AA45-AB45-AC45</f>
        <v>-3700000</v>
      </c>
      <c r="AG45" s="674">
        <f>VLOOKUP(C45,CC!$C$5:$BV$50,72,0)*22000</f>
        <v>0</v>
      </c>
      <c r="AH45" s="674">
        <f>VLOOKUP(C45,CC!$C$5:$BW$50,73,0)*22000</f>
        <v>0</v>
      </c>
      <c r="AI45" s="492"/>
      <c r="AJ45" s="674">
        <f t="shared" ref="AJ45" si="72">ROUND(AF45,-3)+AI45+AG45+AH45+AE45</f>
        <v>-3700000</v>
      </c>
      <c r="AK45" s="674">
        <f t="shared" ref="AK45" si="73">ROUND(AF45,-3)+AE45+AH45</f>
        <v>-3700000</v>
      </c>
      <c r="AL45" s="576"/>
      <c r="AM45" s="576"/>
      <c r="AN45" s="576"/>
      <c r="AO45" s="576"/>
      <c r="AP45" s="576"/>
      <c r="AQ45" s="576"/>
      <c r="AR45" s="576"/>
      <c r="AS45" s="576"/>
      <c r="AT45" s="576"/>
      <c r="AU45" s="576"/>
      <c r="AV45" s="576"/>
      <c r="AW45" s="576"/>
      <c r="AX45" s="576"/>
      <c r="AY45" s="576"/>
      <c r="AZ45" s="576"/>
      <c r="BA45" s="576"/>
      <c r="BB45" s="576"/>
      <c r="BC45" s="576"/>
      <c r="BD45" s="576"/>
      <c r="BE45" s="576"/>
      <c r="BF45" s="576"/>
      <c r="BG45" s="576"/>
      <c r="BH45" s="576"/>
      <c r="BI45" s="576"/>
      <c r="BJ45" s="576"/>
      <c r="BK45" s="576"/>
      <c r="BL45" s="576"/>
      <c r="BM45" s="576"/>
      <c r="BN45" s="576"/>
      <c r="BO45" s="576"/>
      <c r="BP45" s="576"/>
      <c r="BQ45" s="576"/>
      <c r="BR45" s="576"/>
      <c r="BS45" s="576"/>
      <c r="BT45" s="576"/>
      <c r="BU45" s="576"/>
      <c r="BV45" s="576"/>
      <c r="BW45" s="576"/>
      <c r="BX45" s="576"/>
      <c r="BY45" s="576"/>
      <c r="BZ45" s="576"/>
      <c r="CA45" s="576"/>
      <c r="CB45" s="576"/>
      <c r="CC45" s="576"/>
      <c r="CD45" s="576"/>
      <c r="CE45" s="576"/>
      <c r="CF45" s="576"/>
      <c r="CG45" s="576"/>
      <c r="CH45" s="576"/>
      <c r="CI45" s="576"/>
      <c r="CJ45" s="576"/>
      <c r="CK45" s="576"/>
      <c r="CL45" s="576"/>
      <c r="CM45" s="576"/>
      <c r="CN45" s="576"/>
      <c r="CO45" s="576"/>
      <c r="CP45" s="576"/>
      <c r="CQ45" s="576"/>
      <c r="CR45" s="576"/>
      <c r="CS45" s="576"/>
      <c r="CT45" s="576"/>
      <c r="CU45" s="576"/>
      <c r="CV45" s="576"/>
      <c r="CW45" s="576"/>
      <c r="CX45" s="576"/>
      <c r="CY45" s="576"/>
      <c r="CZ45" s="576"/>
      <c r="DA45" s="576"/>
      <c r="DB45" s="576"/>
      <c r="DC45" s="576"/>
      <c r="DD45" s="576"/>
      <c r="DE45" s="576"/>
      <c r="DF45" s="576"/>
      <c r="DG45" s="576"/>
      <c r="DH45" s="576"/>
      <c r="DI45" s="576"/>
      <c r="DJ45" s="576"/>
      <c r="DK45" s="576"/>
      <c r="DL45" s="576"/>
      <c r="DM45" s="576"/>
      <c r="DN45" s="576"/>
      <c r="DO45" s="576"/>
      <c r="DP45" s="576"/>
      <c r="DQ45" s="576"/>
      <c r="DR45" s="576"/>
      <c r="DS45" s="576"/>
      <c r="DT45" s="576"/>
      <c r="DU45" s="576"/>
      <c r="DV45" s="576"/>
      <c r="DW45" s="576"/>
      <c r="DX45" s="576"/>
      <c r="DY45" s="576"/>
      <c r="DZ45" s="576"/>
      <c r="CKP45" s="520"/>
    </row>
    <row r="46" spans="1:130 2330:2330" s="577" customFormat="1" ht="21" customHeight="1">
      <c r="A46" s="437"/>
      <c r="B46" s="437" t="s">
        <v>168</v>
      </c>
      <c r="C46" s="437" t="s">
        <v>913</v>
      </c>
      <c r="D46" s="437" t="s">
        <v>207</v>
      </c>
      <c r="E46" s="488">
        <v>43697</v>
      </c>
      <c r="F46" s="493">
        <f t="shared" ref="F46" si="74">IF(IF(E46="",0,ROUND(($P$2-E46)/30,0))&lt;0,0,IF(E46="",0,ROUND(($P$2-E46)/30,0)))</f>
        <v>0</v>
      </c>
      <c r="G46" s="494">
        <f>IF(VLOOKUP(F46,'he so'!C:D,2,0)=0,0,VLOOKUP(F46,'he so'!C:D,2,0))</f>
        <v>0</v>
      </c>
      <c r="H46" s="490">
        <f t="shared" si="3"/>
        <v>3745000</v>
      </c>
      <c r="I46" s="489" t="s">
        <v>667</v>
      </c>
      <c r="J46" s="489">
        <v>1</v>
      </c>
      <c r="K46" s="495"/>
      <c r="L46" s="490">
        <f>VLOOKUP(I46,'thang luong moi'!B:I,'BANG LUONG 1'!J46+1,0)</f>
        <v>4213125</v>
      </c>
      <c r="M46" s="491">
        <f>VLOOKUP(C46,CC!$C$5:$AJ$67,34,0)</f>
        <v>27</v>
      </c>
      <c r="N46" s="951">
        <f t="shared" si="64"/>
        <v>4375168.269230769</v>
      </c>
      <c r="O46" s="490">
        <f>VLOOKUP(C46,CC!$C$5:$AM$67,36,0)</f>
        <v>0</v>
      </c>
      <c r="P46" s="490">
        <f>VLOOKUP(C46,CC!$C$5:$BS$67,69,0)</f>
        <v>0</v>
      </c>
      <c r="Q46" s="490">
        <f>VLOOKUP(C46,CC!$C$5:$BT$67,70,0)</f>
        <v>0</v>
      </c>
      <c r="R46" s="490">
        <f>VLOOKUP(C46,CC!$C$5:$AM$67,37,0)</f>
        <v>0</v>
      </c>
      <c r="S46" s="490">
        <f>VLOOKUP(C46,CC!$C$5:$AM$67,35,0)</f>
        <v>0</v>
      </c>
      <c r="T46" s="961">
        <f t="shared" ref="T46" si="75">((L46/$N$1)*M46)+(O46*(L46/$N$1))+((P46/8)*1.5*(L46/$N$1))+((Q46/8)*2*L46/$N$1)+(S46*3*(L46/$N$1)+(L46/$N$1)*R46)</f>
        <v>4375168.269230769</v>
      </c>
      <c r="U46" s="490">
        <f>VLOOKUP(C46,'Công tổng'!$C$53:$BY$94,75,0)-N46</f>
        <v>-4375168.269230769</v>
      </c>
      <c r="V46" s="490">
        <f t="shared" ref="V46" si="76">+L46*G46</f>
        <v>0</v>
      </c>
      <c r="W46" s="951">
        <f t="shared" ref="W46" si="77">(L46)*G46</f>
        <v>0</v>
      </c>
      <c r="X46" s="950">
        <f>(100%-VLOOKUP(C46,'chuyên cần'!$C$7:$AP$52,40,FALSE))*$X$3</f>
        <v>300000</v>
      </c>
      <c r="Y46" s="490"/>
      <c r="Z46" s="490">
        <f t="shared" ref="Z46" si="78">SUM(W46:Y46)</f>
        <v>300000</v>
      </c>
      <c r="AA46" s="492">
        <f t="shared" ref="AA46" si="79">Z46+U46+T46</f>
        <v>300000</v>
      </c>
      <c r="AB46" s="674"/>
      <c r="AC46" s="492">
        <f t="shared" ref="AC46" si="80">AD46*$AC$2</f>
        <v>0</v>
      </c>
      <c r="AD46" s="492"/>
      <c r="AE46" s="674"/>
      <c r="AF46" s="492">
        <f t="shared" ref="AF46" si="81">AA46-AB46-AC46</f>
        <v>300000</v>
      </c>
      <c r="AG46" s="674">
        <f>VLOOKUP(C46,CC!$C$5:$BV$50,72,0)*22000</f>
        <v>0</v>
      </c>
      <c r="AH46" s="674">
        <f>VLOOKUP(C46,CC!$C$5:$BW$50,73,0)*22000</f>
        <v>0</v>
      </c>
      <c r="AI46" s="492"/>
      <c r="AJ46" s="674">
        <f t="shared" ref="AJ46" si="82">ROUND(AF46,-3)+AI46+AG46+AH46+AE46</f>
        <v>300000</v>
      </c>
      <c r="AK46" s="674">
        <f t="shared" ref="AK46" si="83">ROUND(AF46,-3)+AE46+AH46</f>
        <v>300000</v>
      </c>
      <c r="AL46" s="576"/>
      <c r="AM46" s="576"/>
      <c r="AN46" s="576"/>
      <c r="AO46" s="576"/>
      <c r="AP46" s="576"/>
      <c r="AQ46" s="576"/>
      <c r="AR46" s="576"/>
      <c r="AS46" s="576"/>
      <c r="AT46" s="576"/>
      <c r="AU46" s="576"/>
      <c r="AV46" s="576"/>
      <c r="AW46" s="576"/>
      <c r="AX46" s="576"/>
      <c r="AY46" s="576"/>
      <c r="AZ46" s="576"/>
      <c r="BA46" s="576"/>
      <c r="BB46" s="576"/>
      <c r="BC46" s="576"/>
      <c r="BD46" s="576"/>
      <c r="BE46" s="576"/>
      <c r="BF46" s="576"/>
      <c r="BG46" s="576"/>
      <c r="BH46" s="576"/>
      <c r="BI46" s="576"/>
      <c r="BJ46" s="576"/>
      <c r="BK46" s="576"/>
      <c r="BL46" s="576"/>
      <c r="BM46" s="576"/>
      <c r="BN46" s="576"/>
      <c r="BO46" s="576"/>
      <c r="BP46" s="576"/>
      <c r="BQ46" s="576"/>
      <c r="BR46" s="576"/>
      <c r="BS46" s="576"/>
      <c r="BT46" s="576"/>
      <c r="BU46" s="576"/>
      <c r="BV46" s="576"/>
      <c r="BW46" s="576"/>
      <c r="BX46" s="576"/>
      <c r="BY46" s="576"/>
      <c r="BZ46" s="576"/>
      <c r="CA46" s="576"/>
      <c r="CB46" s="576"/>
      <c r="CC46" s="576"/>
      <c r="CD46" s="576"/>
      <c r="CE46" s="576"/>
      <c r="CF46" s="576"/>
      <c r="CG46" s="576"/>
      <c r="CH46" s="576"/>
      <c r="CI46" s="576"/>
      <c r="CJ46" s="576"/>
      <c r="CK46" s="576"/>
      <c r="CL46" s="576"/>
      <c r="CM46" s="576"/>
      <c r="CN46" s="576"/>
      <c r="CO46" s="576"/>
      <c r="CP46" s="576"/>
      <c r="CQ46" s="576"/>
      <c r="CR46" s="576"/>
      <c r="CS46" s="576"/>
      <c r="CT46" s="576"/>
      <c r="CU46" s="576"/>
      <c r="CV46" s="576"/>
      <c r="CW46" s="576"/>
      <c r="CX46" s="576"/>
      <c r="CY46" s="576"/>
      <c r="CZ46" s="576"/>
      <c r="DA46" s="576"/>
      <c r="DB46" s="576"/>
      <c r="DC46" s="576"/>
      <c r="DD46" s="576"/>
      <c r="DE46" s="576"/>
      <c r="DF46" s="576"/>
      <c r="DG46" s="576"/>
      <c r="DH46" s="576"/>
      <c r="DI46" s="576"/>
      <c r="DJ46" s="576"/>
      <c r="DK46" s="576"/>
      <c r="DL46" s="576"/>
      <c r="DM46" s="576"/>
      <c r="DN46" s="576"/>
      <c r="DO46" s="576"/>
      <c r="DP46" s="576"/>
      <c r="DQ46" s="576"/>
      <c r="DR46" s="576"/>
      <c r="DS46" s="576"/>
      <c r="DT46" s="576"/>
      <c r="DU46" s="576"/>
      <c r="DV46" s="576"/>
      <c r="DW46" s="576"/>
      <c r="DX46" s="576"/>
      <c r="DY46" s="576"/>
      <c r="DZ46" s="576"/>
      <c r="CKP46" s="520"/>
    </row>
    <row r="47" spans="1:130 2330:2330" s="405" customFormat="1" ht="27.75" customHeight="1">
      <c r="A47" s="425" t="s">
        <v>14</v>
      </c>
      <c r="B47" s="425"/>
      <c r="C47" s="425" t="s">
        <v>739</v>
      </c>
      <c r="D47" s="425"/>
      <c r="E47" s="425"/>
      <c r="F47" s="425"/>
      <c r="G47" s="483"/>
      <c r="H47" s="484"/>
      <c r="I47" s="485"/>
      <c r="J47" s="485"/>
      <c r="K47" s="485"/>
      <c r="L47" s="485"/>
      <c r="M47" s="486"/>
      <c r="N47" s="948"/>
      <c r="O47" s="487"/>
      <c r="P47" s="487"/>
      <c r="Q47" s="487"/>
      <c r="R47" s="487"/>
      <c r="S47" s="487"/>
      <c r="T47" s="948"/>
      <c r="U47" s="487"/>
      <c r="V47" s="487"/>
      <c r="W47" s="948"/>
      <c r="X47" s="948"/>
      <c r="Y47" s="487"/>
      <c r="Z47" s="487"/>
      <c r="AA47" s="487">
        <f>SUM(AA48:AA52)</f>
        <v>7393260.230769231</v>
      </c>
      <c r="AB47" s="487">
        <f t="shared" ref="AB47:AJ47" si="84">SUM(AB48:AB52)</f>
        <v>11000000</v>
      </c>
      <c r="AC47" s="487">
        <f t="shared" si="84"/>
        <v>961170</v>
      </c>
      <c r="AD47" s="487">
        <f t="shared" si="84"/>
        <v>9154000</v>
      </c>
      <c r="AE47" s="487">
        <f t="shared" si="84"/>
        <v>0</v>
      </c>
      <c r="AF47" s="487">
        <f t="shared" si="84"/>
        <v>-4567909.769230769</v>
      </c>
      <c r="AG47" s="487">
        <f t="shared" si="84"/>
        <v>0</v>
      </c>
      <c r="AH47" s="487">
        <f t="shared" si="84"/>
        <v>0</v>
      </c>
      <c r="AI47" s="487">
        <f t="shared" si="84"/>
        <v>0</v>
      </c>
      <c r="AJ47" s="487">
        <f t="shared" si="84"/>
        <v>-4568000</v>
      </c>
      <c r="AK47" s="487">
        <f t="shared" ref="AK47" si="85">SUM(AK48:AK51)</f>
        <v>-1868000</v>
      </c>
      <c r="CKP47" s="520"/>
    </row>
    <row r="48" spans="1:130 2330:2330" s="366" customFormat="1" ht="21" customHeight="1">
      <c r="A48" s="668">
        <v>42</v>
      </c>
      <c r="B48" s="437" t="s">
        <v>159</v>
      </c>
      <c r="C48" s="668" t="s">
        <v>65</v>
      </c>
      <c r="D48" s="668" t="s">
        <v>806</v>
      </c>
      <c r="E48" s="669">
        <v>42086</v>
      </c>
      <c r="F48" s="666">
        <f>IF(IF(E48="",0,ROUND(($P$2-E48)/30,0))&lt;0,0,IF(E48="",0,ROUND(($P$2-E48)/30,0)))</f>
        <v>54</v>
      </c>
      <c r="G48" s="670">
        <f>IF(VLOOKUP(F48,'[1]he so'!C:D,2,0)=0,0,VLOOKUP(F48,'[1]he so'!C:D,2,0))</f>
        <v>0.04</v>
      </c>
      <c r="H48" s="671">
        <f>$H$3</f>
        <v>3745000</v>
      </c>
      <c r="I48" s="672" t="s">
        <v>659</v>
      </c>
      <c r="J48" s="672">
        <v>1</v>
      </c>
      <c r="K48" s="667">
        <v>3745000</v>
      </c>
      <c r="L48" s="673">
        <v>4381650</v>
      </c>
      <c r="M48" s="491">
        <f>VLOOKUP(C48,CC!$C$5:$AJ$67,34,0)</f>
        <v>27</v>
      </c>
      <c r="N48" s="951">
        <f>L48/$N$1*M48</f>
        <v>4550175</v>
      </c>
      <c r="O48" s="490">
        <f>VLOOKUP(C48,CC!$C$5:$AM$67,36,0)</f>
        <v>0</v>
      </c>
      <c r="P48" s="490">
        <f>VLOOKUP(C48,CC!$C$5:$BS$67,69,0)</f>
        <v>0</v>
      </c>
      <c r="Q48" s="490">
        <f>VLOOKUP(C48,CC!$C$5:$BT$67,70,0)</f>
        <v>0</v>
      </c>
      <c r="R48" s="490">
        <f>VLOOKUP(C48,CC!$C$5:$AM$67,37,0)</f>
        <v>0</v>
      </c>
      <c r="S48" s="490">
        <f>VLOOKUP(C48,CC!$C$5:$AM$67,35,0)</f>
        <v>0</v>
      </c>
      <c r="T48" s="961">
        <f>(((L48+Y48)/$N$1)*M48)+(O48*(L48/$N$1))+((P48/8)*1.5*(L48/$N$1))+((Q48/8)*2*(L48+Y48)/$N$1)+(S48*3*((L48+Y48)/$N$1)+((L48/$N$1))*R48)</f>
        <v>5380944.230769231</v>
      </c>
      <c r="U48" s="490"/>
      <c r="V48" s="445">
        <f>+L48*G48</f>
        <v>175266</v>
      </c>
      <c r="W48" s="951">
        <f>(L48)*G48</f>
        <v>175266</v>
      </c>
      <c r="X48" s="950">
        <f>(100%-VLOOKUP(C48,'chuyên cần'!$C$7:$AP$52,40,FALSE))*$X$3</f>
        <v>300000</v>
      </c>
      <c r="Y48" s="671">
        <v>800000</v>
      </c>
      <c r="Z48" s="671">
        <f t="shared" ref="Z48:Z53" si="86">SUM(W48:Y48)</f>
        <v>1275266</v>
      </c>
      <c r="AA48" s="674">
        <f>T48+W48+X48</f>
        <v>5856210.230769231</v>
      </c>
      <c r="AB48" s="674">
        <f>VLOOKUP(C48,'ung luong'!C115:F156,4,0)</f>
        <v>2000000</v>
      </c>
      <c r="AC48" s="674">
        <f>AD48*$AC$2</f>
        <v>0</v>
      </c>
      <c r="AD48" s="674"/>
      <c r="AE48" s="674"/>
      <c r="AF48" s="492">
        <f>AA48-AB48-AC48</f>
        <v>3856210.230769231</v>
      </c>
      <c r="AG48" s="674">
        <f>VLOOKUP(C48,CC!$C$5:$BV$50,72,0)*22000</f>
        <v>0</v>
      </c>
      <c r="AH48" s="674">
        <f>VLOOKUP(C48,CC!$C$5:$BW$50,73,0)*22000</f>
        <v>0</v>
      </c>
      <c r="AI48" s="492"/>
      <c r="AJ48" s="674">
        <f>ROUND(AF48,-3)+AI48+AG48+AH48+AE48</f>
        <v>3856000</v>
      </c>
      <c r="AK48" s="674">
        <f t="shared" si="37"/>
        <v>3856000</v>
      </c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532"/>
      <c r="BO48" s="532"/>
      <c r="BP48" s="532"/>
      <c r="BQ48" s="532"/>
      <c r="BR48" s="532"/>
      <c r="BS48" s="532"/>
      <c r="BT48" s="532"/>
      <c r="BU48" s="532"/>
      <c r="BV48" s="532"/>
      <c r="BW48" s="532"/>
      <c r="BX48" s="532"/>
      <c r="BY48" s="532"/>
      <c r="BZ48" s="532"/>
      <c r="CA48" s="532"/>
      <c r="CB48" s="532"/>
      <c r="CC48" s="532"/>
      <c r="CD48" s="532"/>
      <c r="CE48" s="532"/>
      <c r="CF48" s="532"/>
      <c r="CG48" s="532"/>
      <c r="CH48" s="532"/>
      <c r="CI48" s="532"/>
      <c r="CJ48" s="532"/>
      <c r="CK48" s="532"/>
      <c r="CL48" s="532"/>
      <c r="CM48" s="532"/>
      <c r="CN48" s="532"/>
      <c r="CO48" s="532"/>
      <c r="CP48" s="532"/>
      <c r="CQ48" s="532"/>
      <c r="CR48" s="532"/>
      <c r="CS48" s="532"/>
      <c r="CT48" s="532"/>
      <c r="CU48" s="532"/>
      <c r="CV48" s="532"/>
      <c r="CW48" s="532"/>
      <c r="CX48" s="532"/>
      <c r="CY48" s="532"/>
      <c r="CZ48" s="532"/>
      <c r="DA48" s="532"/>
      <c r="DB48" s="532"/>
      <c r="DC48" s="532"/>
      <c r="DD48" s="532"/>
      <c r="DE48" s="532"/>
      <c r="DF48" s="532"/>
      <c r="DG48" s="532"/>
      <c r="DH48" s="532"/>
      <c r="DI48" s="532"/>
      <c r="DJ48" s="532"/>
      <c r="DK48" s="532"/>
      <c r="DL48" s="532"/>
      <c r="DM48" s="532"/>
      <c r="DN48" s="532"/>
      <c r="DO48" s="532"/>
      <c r="DP48" s="532"/>
      <c r="DQ48" s="532"/>
      <c r="DR48" s="532"/>
      <c r="DS48" s="532"/>
      <c r="DT48" s="532"/>
      <c r="DU48" s="532"/>
      <c r="DV48" s="532"/>
      <c r="DW48" s="532"/>
      <c r="DX48" s="532"/>
      <c r="DY48" s="532"/>
      <c r="DZ48" s="532"/>
      <c r="CKP48" s="520"/>
    </row>
    <row r="49" spans="1:16318" s="520" customFormat="1" ht="21" customHeight="1">
      <c r="A49" s="668">
        <v>43</v>
      </c>
      <c r="B49" s="437" t="s">
        <v>160</v>
      </c>
      <c r="C49" s="437" t="s">
        <v>239</v>
      </c>
      <c r="D49" s="437" t="s">
        <v>207</v>
      </c>
      <c r="E49" s="488">
        <v>41706</v>
      </c>
      <c r="F49" s="493">
        <f>IF(IF(E49="",0,ROUND(($P$2-E49)/30,0))&lt;0,0,IF(E49="",0,ROUND(($P$2-E49)/30,0)))</f>
        <v>67</v>
      </c>
      <c r="G49" s="494">
        <f>IF(VLOOKUP(F49,'he so'!C:D,2,0)=0,0,VLOOKUP(F49,'he so'!C:D,2,0))</f>
        <v>0.05</v>
      </c>
      <c r="H49" s="490">
        <f t="shared" si="3"/>
        <v>3745000</v>
      </c>
      <c r="I49" s="489" t="s">
        <v>667</v>
      </c>
      <c r="J49" s="489">
        <v>1</v>
      </c>
      <c r="K49" s="495">
        <v>3745000</v>
      </c>
      <c r="L49" s="490">
        <f>VLOOKUP(I49,'thang luong moi'!B:I,'BANG LUONG 1'!J49+1,0)</f>
        <v>4213125</v>
      </c>
      <c r="M49" s="491">
        <f>VLOOKUP(C49,CC!$C$5:$AJ$67,34,0)</f>
        <v>27</v>
      </c>
      <c r="N49" s="951">
        <f>L49/$N$1*M49</f>
        <v>4375168.269230769</v>
      </c>
      <c r="O49" s="490">
        <f>VLOOKUP(C49,CC!$C$5:$AM$67,36,0)</f>
        <v>0</v>
      </c>
      <c r="P49" s="490">
        <f>VLOOKUP(C49,CC!$C$5:$BS$67,69,0)</f>
        <v>0</v>
      </c>
      <c r="Q49" s="490">
        <f>VLOOKUP(C49,CC!$C$5:$BT$67,70,0)</f>
        <v>0</v>
      </c>
      <c r="R49" s="491">
        <f>VLOOKUP(C49,CC!$C$5:$AM$67,37,0)</f>
        <v>0</v>
      </c>
      <c r="S49" s="491">
        <f>VLOOKUP(C49,CC!$C$5:$AM$67,35,0)</f>
        <v>0</v>
      </c>
      <c r="T49" s="961">
        <f>((L49/$N$1)*M49)+(O49*(L49/$N$1))+((P49/8)*1.5*(L49/$N$1))+((Q49/8)*2*L49/$N$1)+(S49*3*(L49/$N$1)+(L49/$N$1)*R49)</f>
        <v>4375168.269230769</v>
      </c>
      <c r="U49" s="490">
        <f>VLOOKUP(C49,'Công tổng'!$C$53:$BY$94,75,0)-N49</f>
        <v>-4375168.269230769</v>
      </c>
      <c r="V49" s="445">
        <f>+L49*G49</f>
        <v>210656.25</v>
      </c>
      <c r="W49" s="951">
        <f>(L49)*G49</f>
        <v>210656.25</v>
      </c>
      <c r="X49" s="950">
        <f>(100%-VLOOKUP(C49,'chuyên cần'!$C$7:$AP$52,40,FALSE))*$X$3</f>
        <v>300000</v>
      </c>
      <c r="Y49" s="490"/>
      <c r="Z49" s="490">
        <f t="shared" si="86"/>
        <v>510656.25</v>
      </c>
      <c r="AA49" s="492">
        <f>Z49+U49+T49</f>
        <v>510656.25</v>
      </c>
      <c r="AB49" s="674">
        <f>VLOOKUP(C49,'ung luong'!C116:F157,4,0)</f>
        <v>3000000</v>
      </c>
      <c r="AC49" s="492">
        <f>AD49*$AC$2</f>
        <v>480585</v>
      </c>
      <c r="AD49" s="492">
        <v>4577000</v>
      </c>
      <c r="AE49" s="674"/>
      <c r="AF49" s="492">
        <f>AA49-AB49-AC49</f>
        <v>-2969928.75</v>
      </c>
      <c r="AG49" s="674">
        <f>VLOOKUP(C49,CC!$C$5:$BV$50,72,0)*22000</f>
        <v>0</v>
      </c>
      <c r="AH49" s="674">
        <f>VLOOKUP(C49,CC!$C$5:$BW$50,73,0)*22000</f>
        <v>0</v>
      </c>
      <c r="AI49" s="492"/>
      <c r="AJ49" s="674">
        <f t="shared" ref="AJ49:AJ50" si="87">ROUND(AF49,-3)+AI49+AG49+AH49+AE49</f>
        <v>-2970000</v>
      </c>
      <c r="AK49" s="674">
        <f t="shared" si="37"/>
        <v>-2970000</v>
      </c>
      <c r="AL49" s="519"/>
      <c r="AM49" s="519"/>
      <c r="AN49" s="519"/>
      <c r="AO49" s="519"/>
      <c r="AP49" s="519"/>
      <c r="AQ49" s="519"/>
      <c r="AR49" s="519"/>
      <c r="AS49" s="519"/>
      <c r="AT49" s="519"/>
      <c r="AU49" s="519"/>
      <c r="AV49" s="519"/>
      <c r="AW49" s="519"/>
      <c r="AX49" s="519"/>
      <c r="AY49" s="519"/>
      <c r="AZ49" s="519"/>
      <c r="BA49" s="519"/>
      <c r="BB49" s="519"/>
      <c r="BC49" s="519"/>
      <c r="BD49" s="519"/>
      <c r="BE49" s="519"/>
      <c r="BF49" s="519"/>
      <c r="BG49" s="519"/>
      <c r="BH49" s="519"/>
      <c r="BI49" s="519"/>
      <c r="BJ49" s="519"/>
      <c r="BK49" s="519"/>
      <c r="BL49" s="519"/>
      <c r="BM49" s="519"/>
      <c r="BN49" s="519"/>
      <c r="BO49" s="519"/>
      <c r="BP49" s="519"/>
      <c r="BQ49" s="519"/>
      <c r="BR49" s="519"/>
      <c r="BS49" s="519"/>
      <c r="BT49" s="519"/>
      <c r="BU49" s="519"/>
      <c r="BV49" s="519"/>
      <c r="BW49" s="519"/>
      <c r="BX49" s="519"/>
      <c r="BY49" s="519"/>
      <c r="BZ49" s="519"/>
      <c r="CA49" s="519"/>
      <c r="CB49" s="519"/>
      <c r="CC49" s="519"/>
      <c r="CD49" s="519"/>
      <c r="CE49" s="519"/>
      <c r="CF49" s="519"/>
      <c r="CG49" s="519"/>
      <c r="CH49" s="519"/>
      <c r="CI49" s="519"/>
      <c r="CJ49" s="519"/>
      <c r="CK49" s="519"/>
      <c r="CL49" s="519"/>
      <c r="CM49" s="519"/>
      <c r="CN49" s="519"/>
      <c r="CO49" s="519"/>
      <c r="CP49" s="519"/>
      <c r="CQ49" s="519"/>
      <c r="CR49" s="519"/>
      <c r="CS49" s="519"/>
      <c r="CT49" s="519"/>
      <c r="CU49" s="519"/>
      <c r="CV49" s="519"/>
      <c r="CW49" s="519"/>
      <c r="CX49" s="519"/>
      <c r="CY49" s="519"/>
      <c r="CZ49" s="519"/>
      <c r="DA49" s="519"/>
      <c r="DB49" s="519"/>
      <c r="DC49" s="519"/>
      <c r="DD49" s="519"/>
      <c r="DE49" s="519"/>
      <c r="DF49" s="519"/>
      <c r="DG49" s="519"/>
      <c r="DH49" s="519"/>
      <c r="DI49" s="519"/>
      <c r="DJ49" s="519"/>
      <c r="DK49" s="519"/>
      <c r="DL49" s="519"/>
      <c r="DM49" s="519"/>
      <c r="DN49" s="519"/>
      <c r="DO49" s="519"/>
      <c r="DP49" s="519"/>
      <c r="DQ49" s="519"/>
      <c r="DR49" s="519"/>
      <c r="DS49" s="519"/>
      <c r="DT49" s="519"/>
      <c r="DU49" s="519"/>
      <c r="DV49" s="519"/>
      <c r="DW49" s="519"/>
      <c r="DX49" s="519"/>
      <c r="DY49" s="519"/>
      <c r="DZ49" s="519"/>
    </row>
    <row r="50" spans="1:16318" s="520" customFormat="1" ht="18.75" customHeight="1">
      <c r="A50" s="668">
        <v>44</v>
      </c>
      <c r="B50" s="437" t="s">
        <v>161</v>
      </c>
      <c r="C50" s="437" t="s">
        <v>589</v>
      </c>
      <c r="D50" s="437" t="s">
        <v>207</v>
      </c>
      <c r="E50" s="488">
        <v>42413</v>
      </c>
      <c r="F50" s="493">
        <f>IF(IF(E50="",0,ROUND(($P$2-E50)/30,0))&lt;0,0,IF(E50="",0,ROUND(($P$2-E50)/30,0)))</f>
        <v>43</v>
      </c>
      <c r="G50" s="494">
        <f>IF(VLOOKUP(F50,'he so'!C:D,2,0)=0,0,VLOOKUP(F50,'he so'!C:D,2,0))</f>
        <v>0.03</v>
      </c>
      <c r="H50" s="490">
        <f t="shared" si="3"/>
        <v>3745000</v>
      </c>
      <c r="I50" s="489" t="s">
        <v>667</v>
      </c>
      <c r="J50" s="489">
        <v>1</v>
      </c>
      <c r="K50" s="495">
        <v>3745000</v>
      </c>
      <c r="L50" s="490">
        <f>VLOOKUP(I50,'thang luong moi'!B:I,'BANG LUONG 1'!J50+1,0)</f>
        <v>4213125</v>
      </c>
      <c r="M50" s="491">
        <f>VLOOKUP(C50,CC!$C$5:$AJ$67,34,0)</f>
        <v>27</v>
      </c>
      <c r="N50" s="951">
        <f>L50/$N$1*M50</f>
        <v>4375168.269230769</v>
      </c>
      <c r="O50" s="490">
        <f>VLOOKUP(C50,CC!$C$5:$AM$67,36,0)</f>
        <v>0</v>
      </c>
      <c r="P50" s="490">
        <f>VLOOKUP(C50,CC!$C$5:$BS$67,69,0)</f>
        <v>0</v>
      </c>
      <c r="Q50" s="490">
        <f>VLOOKUP(C50,CC!$C$5:$BT$67,70,0)</f>
        <v>0</v>
      </c>
      <c r="R50" s="490">
        <f>VLOOKUP(C50,CC!$C$5:$AM$67,37,0)</f>
        <v>0</v>
      </c>
      <c r="S50" s="490">
        <f>VLOOKUP(C50,CC!$C$5:$AM$67,35,0)</f>
        <v>0</v>
      </c>
      <c r="T50" s="961">
        <f>((L50/$N$1)*M50)+(O50*(L50/$N$1))+((P50/8)*1.5*(L50/$N$1))+((Q50/8)*2*L50/$N$1)+(S50*3*(L50/$N$1)+(L50/$N$1)*R50)</f>
        <v>4375168.269230769</v>
      </c>
      <c r="U50" s="490">
        <f>VLOOKUP(C50,'Công tổng'!$C$53:$BY$94,75,0)-N50</f>
        <v>-4375168.269230769</v>
      </c>
      <c r="V50" s="445">
        <f>+L50*G50</f>
        <v>126393.75</v>
      </c>
      <c r="W50" s="951">
        <f>(L50)*G50</f>
        <v>126393.75</v>
      </c>
      <c r="X50" s="950">
        <f>(100%-VLOOKUP(C50,'chuyên cần'!$C$7:$AP$52,40,FALSE))*$X$3</f>
        <v>300000</v>
      </c>
      <c r="Y50" s="490"/>
      <c r="Z50" s="490">
        <f t="shared" si="86"/>
        <v>426393.75</v>
      </c>
      <c r="AA50" s="492">
        <f>Z50+U50+T50</f>
        <v>426393.75</v>
      </c>
      <c r="AB50" s="674">
        <f>VLOOKUP(C50,'ung luong'!C117:F158,4,0)</f>
        <v>3000000</v>
      </c>
      <c r="AC50" s="492">
        <f>AD50*$AC$2</f>
        <v>480585</v>
      </c>
      <c r="AD50" s="492">
        <v>4577000</v>
      </c>
      <c r="AE50" s="674"/>
      <c r="AF50" s="492">
        <f>AA50-AB50-AC50</f>
        <v>-3054191.25</v>
      </c>
      <c r="AG50" s="674">
        <f>VLOOKUP(C50,CC!$C$5:$BV$50,72,0)*22000</f>
        <v>0</v>
      </c>
      <c r="AH50" s="674">
        <f>VLOOKUP(C50,CC!$C$5:$BW$50,73,0)*22000</f>
        <v>0</v>
      </c>
      <c r="AI50" s="492"/>
      <c r="AJ50" s="674">
        <f t="shared" si="87"/>
        <v>-3054000</v>
      </c>
      <c r="AK50" s="674">
        <f t="shared" si="37"/>
        <v>-3054000</v>
      </c>
      <c r="AL50" s="519"/>
      <c r="AM50" s="519"/>
      <c r="AN50" s="519"/>
      <c r="AO50" s="519"/>
      <c r="AP50" s="519"/>
      <c r="AQ50" s="519"/>
      <c r="AR50" s="519"/>
      <c r="AS50" s="519"/>
      <c r="AT50" s="519"/>
      <c r="AU50" s="519"/>
      <c r="AV50" s="519"/>
      <c r="AW50" s="519"/>
      <c r="AX50" s="519"/>
      <c r="AY50" s="519"/>
      <c r="AZ50" s="519"/>
      <c r="BA50" s="519"/>
      <c r="BB50" s="519"/>
      <c r="BC50" s="519"/>
      <c r="BD50" s="519"/>
      <c r="BE50" s="519"/>
      <c r="BF50" s="519"/>
      <c r="BG50" s="519"/>
      <c r="BH50" s="519"/>
      <c r="BI50" s="519"/>
      <c r="BJ50" s="519"/>
      <c r="BK50" s="519"/>
      <c r="BL50" s="519"/>
      <c r="BM50" s="519"/>
      <c r="BN50" s="519"/>
      <c r="BO50" s="519"/>
      <c r="BP50" s="519"/>
      <c r="BQ50" s="519"/>
      <c r="BR50" s="519"/>
      <c r="BS50" s="519"/>
      <c r="BT50" s="519"/>
      <c r="BU50" s="519"/>
      <c r="BV50" s="519"/>
      <c r="BW50" s="519"/>
      <c r="BX50" s="519"/>
      <c r="BY50" s="519"/>
      <c r="BZ50" s="519"/>
      <c r="CA50" s="519"/>
      <c r="CB50" s="519"/>
      <c r="CC50" s="519"/>
      <c r="CD50" s="519"/>
      <c r="CE50" s="519"/>
      <c r="CF50" s="519"/>
      <c r="CG50" s="519"/>
      <c r="CH50" s="519"/>
      <c r="CI50" s="519"/>
      <c r="CJ50" s="519"/>
      <c r="CK50" s="519"/>
      <c r="CL50" s="519"/>
      <c r="CM50" s="519"/>
      <c r="CN50" s="519"/>
      <c r="CO50" s="519"/>
      <c r="CP50" s="519"/>
      <c r="CQ50" s="519"/>
      <c r="CR50" s="519"/>
      <c r="CS50" s="519"/>
      <c r="CT50" s="519"/>
      <c r="CU50" s="519"/>
      <c r="CV50" s="519"/>
      <c r="CW50" s="519"/>
      <c r="CX50" s="519"/>
      <c r="CY50" s="519"/>
      <c r="CZ50" s="519"/>
      <c r="DA50" s="519"/>
      <c r="DB50" s="519"/>
      <c r="DC50" s="519"/>
      <c r="DD50" s="519"/>
      <c r="DE50" s="519"/>
      <c r="DF50" s="519"/>
      <c r="DG50" s="519"/>
      <c r="DH50" s="519"/>
      <c r="DI50" s="519"/>
      <c r="DJ50" s="519"/>
      <c r="DK50" s="519"/>
      <c r="DL50" s="519"/>
      <c r="DM50" s="519"/>
      <c r="DN50" s="519"/>
      <c r="DO50" s="519"/>
      <c r="DP50" s="519"/>
      <c r="DQ50" s="519"/>
      <c r="DR50" s="519"/>
      <c r="DS50" s="519"/>
      <c r="DT50" s="519"/>
      <c r="DU50" s="519"/>
      <c r="DV50" s="519"/>
      <c r="DW50" s="519"/>
      <c r="DX50" s="519"/>
      <c r="DY50" s="519"/>
      <c r="DZ50" s="519"/>
    </row>
    <row r="51" spans="1:16318" s="520" customFormat="1" ht="21" customHeight="1">
      <c r="A51" s="668"/>
      <c r="B51" s="668" t="s">
        <v>165</v>
      </c>
      <c r="C51" s="437" t="s">
        <v>890</v>
      </c>
      <c r="D51" s="437" t="s">
        <v>777</v>
      </c>
      <c r="E51" s="488">
        <v>43626</v>
      </c>
      <c r="F51" s="493">
        <f>IF(IF(E51="",0,ROUND(($P$2-E51)/30,0))&lt;0,0,IF(E51="",0,ROUND(($P$2-E51)/30,0)))</f>
        <v>3</v>
      </c>
      <c r="G51" s="494">
        <f>IF(VLOOKUP(F51,'he so'!C:D,2,0)=0,0,VLOOKUP(F51,'he so'!C:D,2,0))</f>
        <v>0</v>
      </c>
      <c r="H51" s="490">
        <f t="shared" si="3"/>
        <v>3745000</v>
      </c>
      <c r="I51" s="489" t="s">
        <v>667</v>
      </c>
      <c r="J51" s="489">
        <v>1</v>
      </c>
      <c r="K51" s="495">
        <v>3745000</v>
      </c>
      <c r="L51" s="490">
        <f>VLOOKUP(I51,'thang luong moi'!B:I,'BANG LUONG 1'!J51+1,0)</f>
        <v>4213125</v>
      </c>
      <c r="M51" s="491">
        <f>VLOOKUP(C51,CC!$C$5:$AJ$67,34,0)</f>
        <v>27</v>
      </c>
      <c r="N51" s="951">
        <f>L51/$N$1*M51</f>
        <v>4375168.269230769</v>
      </c>
      <c r="O51" s="490">
        <f>VLOOKUP(C51,CC!$C$5:$AM$67,36,0)</f>
        <v>0</v>
      </c>
      <c r="P51" s="490">
        <f>VLOOKUP(C51,CC!$C$5:$BS$67,69,0)</f>
        <v>0</v>
      </c>
      <c r="Q51" s="490">
        <f>VLOOKUP(C51,CC!$C$5:$BT$67,70,0)</f>
        <v>0</v>
      </c>
      <c r="R51" s="490">
        <f>VLOOKUP(C51,CC!$C$5:$AM$67,37,0)</f>
        <v>0</v>
      </c>
      <c r="S51" s="490">
        <f>VLOOKUP(C51,CC!$C$5:$AM$67,35,0)</f>
        <v>0</v>
      </c>
      <c r="T51" s="961">
        <f>((L51/$N$1)*M51)+(O51*(L51/$N$1))+((P51/8)*1.5*(L51/$N$1))+((Q51/8)*2*L51/$N$1)+(S51*3*(L51/$N$1)+(L51/$N$1)*R51)</f>
        <v>4375168.269230769</v>
      </c>
      <c r="U51" s="490">
        <f>VLOOKUP(C51,'Công tổng'!$C$53:$BY$95,75,0)-N51</f>
        <v>-4375168.269230769</v>
      </c>
      <c r="V51" s="445">
        <f>+L51*G51</f>
        <v>0</v>
      </c>
      <c r="W51" s="951">
        <f>(L51)*G51</f>
        <v>0</v>
      </c>
      <c r="X51" s="950">
        <f>(100%-VLOOKUP(C51,'chuyên cần'!$C$7:$AP$52,40,FALSE))*$X$3</f>
        <v>300000</v>
      </c>
      <c r="Y51" s="490"/>
      <c r="Z51" s="490">
        <f t="shared" si="86"/>
        <v>300000</v>
      </c>
      <c r="AA51" s="492">
        <f>Z51+U51+T51</f>
        <v>300000</v>
      </c>
      <c r="AB51" s="674">
        <f>VLOOKUP(C51,'ung luong'!C118:F159,4,0)</f>
        <v>0</v>
      </c>
      <c r="AC51" s="492">
        <f>AD51*$AC$2</f>
        <v>0</v>
      </c>
      <c r="AD51" s="492"/>
      <c r="AE51" s="674"/>
      <c r="AF51" s="492">
        <f>AA51-AB51-AC51</f>
        <v>300000</v>
      </c>
      <c r="AG51" s="674">
        <f>VLOOKUP(C51,CC!$C$5:$BV$53,72,0)*22000</f>
        <v>0</v>
      </c>
      <c r="AH51" s="674">
        <f>VLOOKUP(C51,CC!$C$5:$BW$53,73,0)*22000</f>
        <v>0</v>
      </c>
      <c r="AI51" s="492"/>
      <c r="AJ51" s="674">
        <f t="shared" ref="AJ51" si="88">ROUND(AF51,-3)+AI51+AG51+AH51+AE51</f>
        <v>300000</v>
      </c>
      <c r="AK51" s="674">
        <f t="shared" ref="AK51" si="89">ROUND(AF51,-3)+AE51+AH51</f>
        <v>300000</v>
      </c>
      <c r="AL51" s="519"/>
      <c r="AM51" s="519"/>
      <c r="AN51" s="519"/>
      <c r="AO51" s="519"/>
      <c r="AP51" s="519"/>
      <c r="AQ51" s="519"/>
      <c r="AR51" s="519"/>
      <c r="AS51" s="519"/>
      <c r="AT51" s="519"/>
      <c r="AU51" s="519"/>
      <c r="AV51" s="519"/>
      <c r="AW51" s="519"/>
      <c r="AX51" s="519"/>
      <c r="AY51" s="519"/>
      <c r="AZ51" s="519"/>
      <c r="BA51" s="519"/>
      <c r="BB51" s="519"/>
      <c r="BC51" s="519"/>
      <c r="BD51" s="519"/>
      <c r="BE51" s="519"/>
      <c r="BF51" s="519"/>
      <c r="BG51" s="519"/>
      <c r="BH51" s="519"/>
      <c r="BI51" s="519"/>
      <c r="BJ51" s="519"/>
      <c r="BK51" s="519"/>
      <c r="BL51" s="519"/>
      <c r="BM51" s="519"/>
      <c r="BN51" s="519"/>
      <c r="BO51" s="519"/>
      <c r="BP51" s="519"/>
      <c r="BQ51" s="519"/>
      <c r="BR51" s="519"/>
      <c r="BS51" s="519"/>
      <c r="BT51" s="519"/>
      <c r="BU51" s="519"/>
      <c r="BV51" s="519"/>
      <c r="BW51" s="519"/>
      <c r="BX51" s="519"/>
      <c r="BY51" s="519"/>
      <c r="BZ51" s="519"/>
      <c r="CA51" s="519"/>
      <c r="CB51" s="519"/>
      <c r="CC51" s="519"/>
      <c r="CD51" s="519"/>
      <c r="CE51" s="519"/>
      <c r="CF51" s="519"/>
      <c r="CG51" s="519"/>
      <c r="CH51" s="519"/>
      <c r="CI51" s="519"/>
      <c r="CJ51" s="519"/>
      <c r="CK51" s="519"/>
      <c r="CL51" s="519"/>
      <c r="CM51" s="519"/>
      <c r="CN51" s="519"/>
      <c r="CO51" s="519"/>
      <c r="CP51" s="519"/>
      <c r="CQ51" s="519"/>
      <c r="CR51" s="519"/>
      <c r="CS51" s="519"/>
      <c r="CT51" s="519"/>
      <c r="CU51" s="519"/>
      <c r="CV51" s="519"/>
      <c r="CW51" s="519"/>
      <c r="CX51" s="519"/>
      <c r="CY51" s="519"/>
      <c r="CZ51" s="519"/>
      <c r="DA51" s="519"/>
      <c r="DB51" s="519"/>
      <c r="DC51" s="519"/>
      <c r="DD51" s="519"/>
      <c r="DE51" s="519"/>
      <c r="DF51" s="519"/>
      <c r="DG51" s="519"/>
      <c r="DH51" s="519"/>
      <c r="DI51" s="519"/>
      <c r="DJ51" s="519"/>
      <c r="DK51" s="519"/>
      <c r="DL51" s="519"/>
      <c r="DM51" s="519"/>
      <c r="DN51" s="519"/>
      <c r="DO51" s="519"/>
      <c r="DP51" s="519"/>
      <c r="DQ51" s="519"/>
      <c r="DR51" s="519"/>
      <c r="DS51" s="519"/>
      <c r="DT51" s="519"/>
      <c r="DU51" s="519"/>
      <c r="DV51" s="519"/>
      <c r="DW51" s="519"/>
      <c r="DX51" s="519"/>
      <c r="DY51" s="519"/>
      <c r="DZ51" s="519"/>
    </row>
    <row r="52" spans="1:16318" s="520" customFormat="1" ht="21" customHeight="1">
      <c r="A52" s="668"/>
      <c r="B52" s="668" t="s">
        <v>167</v>
      </c>
      <c r="C52" s="437" t="s">
        <v>899</v>
      </c>
      <c r="D52" s="437" t="s">
        <v>777</v>
      </c>
      <c r="E52" s="488">
        <v>43668</v>
      </c>
      <c r="F52" s="493">
        <f>IF(IF(E52="",0,ROUND(($P$2-E52)/30,0))&lt;0,0,IF(E52="",0,ROUND(($P$2-E52)/30,0)))</f>
        <v>1</v>
      </c>
      <c r="G52" s="494">
        <f>IF(VLOOKUP(F52,'he so'!C:D,2,0)=0,0,VLOOKUP(F52,'he so'!C:D,2,0))</f>
        <v>0</v>
      </c>
      <c r="H52" s="490">
        <f t="shared" si="3"/>
        <v>3745000</v>
      </c>
      <c r="I52" s="489" t="s">
        <v>667</v>
      </c>
      <c r="J52" s="489">
        <v>1</v>
      </c>
      <c r="K52" s="495">
        <v>3745000</v>
      </c>
      <c r="L52" s="490">
        <f>VLOOKUP(I52,'thang luong moi'!B:I,'BANG LUONG 1'!J52+1,0)</f>
        <v>4213125</v>
      </c>
      <c r="M52" s="491">
        <f>VLOOKUP(C52,CC!$C$5:$AJ$67,34,0)</f>
        <v>27</v>
      </c>
      <c r="N52" s="951">
        <f>L52/$N$1*M52</f>
        <v>4375168.269230769</v>
      </c>
      <c r="O52" s="490">
        <f>VLOOKUP(C52,CC!$C$5:$AM$67,36,0)</f>
        <v>0</v>
      </c>
      <c r="P52" s="490">
        <f>VLOOKUP(C52,CC!$C$5:$BS$67,69,0)</f>
        <v>0</v>
      </c>
      <c r="Q52" s="490">
        <f>VLOOKUP(C52,CC!$C$5:$BT$67,70,0)</f>
        <v>0</v>
      </c>
      <c r="R52" s="490">
        <f>VLOOKUP(C52,CC!$C$5:$AM$67,37,0)</f>
        <v>0</v>
      </c>
      <c r="S52" s="490">
        <f>VLOOKUP(C52,CC!$C$5:$AM$67,35,0)</f>
        <v>0</v>
      </c>
      <c r="T52" s="961">
        <f>((L52/$N$1)*M52)+(O52*(L52/$N$1))+((P52/8)*1.5*(L52/$N$1))+((Q52/8)*2*L52/$N$1)+(S52*3*(L52/$N$1)+(L52/$N$1)*R52)</f>
        <v>4375168.269230769</v>
      </c>
      <c r="U52" s="490">
        <f>VLOOKUP(C52,'Công tổng'!$C$53:$BY$96,75,0)-N52</f>
        <v>-4375168.269230769</v>
      </c>
      <c r="V52" s="445">
        <f>+L52*G52</f>
        <v>0</v>
      </c>
      <c r="W52" s="951">
        <f>(L52)*G52</f>
        <v>0</v>
      </c>
      <c r="X52" s="950">
        <f>(100%-VLOOKUP(C52,'chuyên cần'!$C$7:$AP$53,40,FALSE))*$X$3</f>
        <v>300000</v>
      </c>
      <c r="Y52" s="490"/>
      <c r="Z52" s="490">
        <f t="shared" si="86"/>
        <v>300000</v>
      </c>
      <c r="AA52" s="492">
        <f>Z52+U52+T52</f>
        <v>300000</v>
      </c>
      <c r="AB52" s="674">
        <f>VLOOKUP(C52,'ung luong'!C119:F160,4,0)</f>
        <v>3000000</v>
      </c>
      <c r="AC52" s="492">
        <f>AD52*$AC$2</f>
        <v>0</v>
      </c>
      <c r="AD52" s="492"/>
      <c r="AE52" s="674"/>
      <c r="AF52" s="492">
        <f>AA52-AB52-AC52</f>
        <v>-2700000</v>
      </c>
      <c r="AG52" s="674">
        <f>VLOOKUP(C52,CC!$C$5:$BV$53,72,0)*22000</f>
        <v>0</v>
      </c>
      <c r="AH52" s="674">
        <f>VLOOKUP(C52,CC!$C$5:$BW$53,73,0)*22000</f>
        <v>0</v>
      </c>
      <c r="AI52" s="492"/>
      <c r="AJ52" s="674">
        <f t="shared" ref="AJ52" si="90">ROUND(AF52,-3)+AI52+AG52+AH52+AE52</f>
        <v>-2700000</v>
      </c>
      <c r="AK52" s="674">
        <f t="shared" ref="AK52" si="91">ROUND(AF52,-3)+AE52+AH52</f>
        <v>-2700000</v>
      </c>
      <c r="AL52" s="519"/>
      <c r="AM52" s="519"/>
      <c r="AN52" s="519"/>
      <c r="AO52" s="519"/>
      <c r="AP52" s="519"/>
      <c r="AQ52" s="519"/>
      <c r="AR52" s="519"/>
      <c r="AS52" s="519"/>
      <c r="AT52" s="519"/>
      <c r="AU52" s="519"/>
      <c r="AV52" s="519"/>
      <c r="AW52" s="519"/>
      <c r="AX52" s="519"/>
      <c r="AY52" s="519"/>
      <c r="AZ52" s="519"/>
      <c r="BA52" s="519"/>
      <c r="BB52" s="519"/>
      <c r="BC52" s="519"/>
      <c r="BD52" s="519"/>
      <c r="BE52" s="519"/>
      <c r="BF52" s="519"/>
      <c r="BG52" s="519"/>
      <c r="BH52" s="519"/>
      <c r="BI52" s="519"/>
      <c r="BJ52" s="519"/>
      <c r="BK52" s="519"/>
      <c r="BL52" s="519"/>
      <c r="BM52" s="519"/>
      <c r="BN52" s="519"/>
      <c r="BO52" s="519"/>
      <c r="BP52" s="519"/>
      <c r="BQ52" s="519"/>
      <c r="BR52" s="519"/>
      <c r="BS52" s="519"/>
      <c r="BT52" s="519"/>
      <c r="BU52" s="519"/>
      <c r="BV52" s="519"/>
      <c r="BW52" s="519"/>
      <c r="BX52" s="519"/>
      <c r="BY52" s="519"/>
      <c r="BZ52" s="519"/>
      <c r="CA52" s="519"/>
      <c r="CB52" s="519"/>
      <c r="CC52" s="519"/>
      <c r="CD52" s="519"/>
      <c r="CE52" s="519"/>
      <c r="CF52" s="519"/>
      <c r="CG52" s="519"/>
      <c r="CH52" s="519"/>
      <c r="CI52" s="519"/>
      <c r="CJ52" s="519"/>
      <c r="CK52" s="519"/>
      <c r="CL52" s="519"/>
      <c r="CM52" s="519"/>
      <c r="CN52" s="519"/>
      <c r="CO52" s="519"/>
      <c r="CP52" s="519"/>
      <c r="CQ52" s="519"/>
      <c r="CR52" s="519"/>
      <c r="CS52" s="519"/>
      <c r="CT52" s="519"/>
      <c r="CU52" s="519"/>
      <c r="CV52" s="519"/>
      <c r="CW52" s="519"/>
      <c r="CX52" s="519"/>
      <c r="CY52" s="519"/>
      <c r="CZ52" s="519"/>
      <c r="DA52" s="519"/>
      <c r="DB52" s="519"/>
      <c r="DC52" s="519"/>
      <c r="DD52" s="519"/>
      <c r="DE52" s="519"/>
      <c r="DF52" s="519"/>
      <c r="DG52" s="519"/>
      <c r="DH52" s="519"/>
      <c r="DI52" s="519"/>
      <c r="DJ52" s="519"/>
      <c r="DK52" s="519"/>
      <c r="DL52" s="519"/>
      <c r="DM52" s="519"/>
      <c r="DN52" s="519"/>
      <c r="DO52" s="519"/>
      <c r="DP52" s="519"/>
      <c r="DQ52" s="519"/>
      <c r="DR52" s="519"/>
      <c r="DS52" s="519"/>
      <c r="DT52" s="519"/>
      <c r="DU52" s="519"/>
      <c r="DV52" s="519"/>
      <c r="DW52" s="519"/>
      <c r="DX52" s="519"/>
      <c r="DY52" s="519"/>
      <c r="DZ52" s="519"/>
    </row>
    <row r="53" spans="1:16318" s="220" customFormat="1" ht="29.25" customHeight="1">
      <c r="A53" s="438"/>
      <c r="B53" s="438"/>
      <c r="C53" s="438" t="s">
        <v>543</v>
      </c>
      <c r="D53" s="438"/>
      <c r="E53" s="439"/>
      <c r="F53" s="440"/>
      <c r="G53" s="441"/>
      <c r="H53" s="442"/>
      <c r="I53" s="443"/>
      <c r="J53" s="443"/>
      <c r="K53" s="434"/>
      <c r="L53" s="442"/>
      <c r="M53" s="444"/>
      <c r="N53" s="953"/>
      <c r="O53" s="442"/>
      <c r="P53" s="442"/>
      <c r="Q53" s="442"/>
      <c r="R53" s="442"/>
      <c r="S53" s="442"/>
      <c r="T53" s="953"/>
      <c r="U53" s="442"/>
      <c r="V53" s="442"/>
      <c r="W53" s="964"/>
      <c r="X53" s="953"/>
      <c r="Y53" s="442">
        <v>0</v>
      </c>
      <c r="Z53" s="446">
        <f t="shared" si="86"/>
        <v>0</v>
      </c>
      <c r="AA53" s="442">
        <f>AA47+AA38+AA18+AA5</f>
        <v>38068979.557692304</v>
      </c>
      <c r="AB53" s="442">
        <f t="shared" ref="AB53:AJ53" si="92">AB47+AB38+AB18+AB5</f>
        <v>119500000</v>
      </c>
      <c r="AC53" s="442">
        <f t="shared" si="92"/>
        <v>16120185</v>
      </c>
      <c r="AD53" s="442">
        <f t="shared" si="92"/>
        <v>151564000</v>
      </c>
      <c r="AE53" s="442">
        <f t="shared" si="92"/>
        <v>0</v>
      </c>
      <c r="AF53" s="442">
        <f t="shared" si="92"/>
        <v>-97551205.442307696</v>
      </c>
      <c r="AG53" s="442">
        <f t="shared" si="92"/>
        <v>0</v>
      </c>
      <c r="AH53" s="442">
        <f t="shared" si="92"/>
        <v>0</v>
      </c>
      <c r="AI53" s="442">
        <f t="shared" si="92"/>
        <v>0</v>
      </c>
      <c r="AJ53" s="442">
        <f t="shared" si="92"/>
        <v>-97554000</v>
      </c>
      <c r="AK53" s="442">
        <f t="shared" ref="AK53" si="93">AK47+AK38+AK18+AK5</f>
        <v>-84956000</v>
      </c>
      <c r="AL53" s="891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</row>
    <row r="54" spans="1:16318" ht="25.5" customHeight="1">
      <c r="A54" s="499"/>
      <c r="B54" s="499"/>
      <c r="C54" s="499"/>
      <c r="D54" s="499"/>
      <c r="E54" s="500"/>
      <c r="F54" s="501"/>
      <c r="G54" s="502"/>
      <c r="H54" s="503"/>
      <c r="I54" s="504"/>
      <c r="J54" s="504"/>
      <c r="K54" s="503"/>
      <c r="L54" s="503"/>
      <c r="M54" s="505"/>
      <c r="N54" s="954"/>
      <c r="O54" s="503"/>
      <c r="P54" s="503"/>
      <c r="Q54" s="503"/>
      <c r="R54" s="503"/>
      <c r="S54" s="503"/>
      <c r="T54" s="954"/>
      <c r="U54" s="503"/>
      <c r="V54" s="534"/>
      <c r="W54" s="965"/>
      <c r="X54" s="954"/>
      <c r="Y54" s="503"/>
      <c r="Z54" s="506"/>
      <c r="AA54" s="507"/>
      <c r="AB54" s="503"/>
      <c r="AC54" s="503"/>
      <c r="AD54" s="503"/>
      <c r="AE54" s="469"/>
      <c r="AF54" s="518"/>
      <c r="AG54" s="503"/>
      <c r="AH54" s="1031"/>
      <c r="AI54" s="1031"/>
      <c r="AJ54" s="664"/>
      <c r="AK54" s="796"/>
      <c r="AL54" s="796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</row>
    <row r="55" spans="1:16318">
      <c r="A55" s="9"/>
      <c r="B55" s="9"/>
      <c r="C55" s="476"/>
      <c r="D55" s="9"/>
      <c r="E55" s="9"/>
      <c r="F55" s="9"/>
      <c r="G55" s="508"/>
      <c r="H55" s="9"/>
      <c r="I55" s="509"/>
      <c r="J55" s="509"/>
      <c r="K55" s="665"/>
      <c r="L55" s="497"/>
      <c r="M55" s="511"/>
      <c r="N55" s="955"/>
      <c r="O55" s="476"/>
      <c r="P55" s="476"/>
      <c r="Q55" s="476"/>
      <c r="R55" s="476"/>
      <c r="S55" s="476"/>
      <c r="T55" s="955"/>
      <c r="U55" s="497"/>
      <c r="V55" s="498"/>
      <c r="W55" s="962"/>
      <c r="X55" s="955"/>
      <c r="Y55" s="476"/>
      <c r="Z55" s="512"/>
      <c r="AA55" s="513"/>
      <c r="AB55" s="503"/>
      <c r="AC55" s="476"/>
      <c r="AD55" s="476"/>
      <c r="AE55" s="476"/>
      <c r="AF55" s="476"/>
      <c r="AG55" s="497"/>
      <c r="AH55" s="497"/>
      <c r="AI55" s="476"/>
      <c r="AJ55" s="220">
        <f>+AJ53+'[2] Bang luong'!$AG$35</f>
        <v>54446000</v>
      </c>
      <c r="AL55" s="476"/>
      <c r="AM55" s="830"/>
    </row>
    <row r="56" spans="1:16318" ht="15" customHeight="1">
      <c r="A56" s="9"/>
      <c r="B56" s="1032" t="s">
        <v>703</v>
      </c>
      <c r="C56" s="1032"/>
      <c r="D56" s="9"/>
      <c r="E56" s="509"/>
      <c r="I56" s="476"/>
      <c r="J56" s="476"/>
      <c r="K56" s="476"/>
      <c r="L56" s="476"/>
      <c r="M56" s="1033" t="s">
        <v>825</v>
      </c>
      <c r="N56" s="1033"/>
      <c r="O56" s="1033"/>
      <c r="P56" s="497"/>
      <c r="T56" s="962"/>
      <c r="U56" s="497"/>
      <c r="V56" s="476"/>
      <c r="W56" s="955"/>
      <c r="X56" s="955"/>
      <c r="Y56" s="476"/>
      <c r="Z56" s="476"/>
      <c r="AA56" s="476"/>
      <c r="AB56" s="788"/>
      <c r="AC56" s="1037" t="s">
        <v>564</v>
      </c>
      <c r="AD56" s="1037"/>
      <c r="AE56" s="1037"/>
      <c r="AF56" s="1037"/>
      <c r="AG56" s="781"/>
      <c r="AH56" s="781"/>
      <c r="AI56" s="515"/>
      <c r="AJ56" s="514"/>
      <c r="AK56" s="830">
        <f>310000000-AJ56</f>
        <v>310000000</v>
      </c>
      <c r="AL56" s="830"/>
    </row>
    <row r="57" spans="1:16318">
      <c r="A57" s="9"/>
      <c r="B57" s="516"/>
      <c r="C57" s="477"/>
      <c r="D57" s="9"/>
      <c r="E57" s="509"/>
      <c r="I57" s="476"/>
      <c r="J57" s="476"/>
      <c r="K57" s="476"/>
      <c r="L57" s="476"/>
      <c r="M57" s="517"/>
      <c r="N57" s="956"/>
      <c r="O57" s="477"/>
      <c r="P57" s="497"/>
      <c r="V57" s="476"/>
      <c r="W57" s="957"/>
      <c r="X57" s="967" t="s">
        <v>824</v>
      </c>
      <c r="Y57" s="497"/>
      <c r="Z57" s="476"/>
      <c r="AA57" s="476"/>
      <c r="AB57" s="788"/>
      <c r="AC57" s="477"/>
      <c r="AD57" s="516"/>
      <c r="AE57" s="516"/>
      <c r="AF57" s="516"/>
      <c r="AG57" s="787"/>
      <c r="AH57" s="787"/>
      <c r="AI57" s="516"/>
      <c r="AJ57" s="514"/>
      <c r="AM57" s="830"/>
    </row>
    <row r="58" spans="1:16318" ht="24.75" customHeight="1">
      <c r="A58" s="9"/>
      <c r="B58" s="516"/>
      <c r="C58" s="477"/>
      <c r="D58" s="9"/>
      <c r="E58" s="509"/>
      <c r="I58" s="476"/>
      <c r="J58" s="476"/>
      <c r="K58" s="476"/>
      <c r="L58" s="476"/>
      <c r="M58" s="517"/>
      <c r="N58" s="956"/>
      <c r="O58" s="477"/>
      <c r="P58" s="497"/>
      <c r="V58" s="476"/>
      <c r="W58" s="957"/>
      <c r="X58" s="962"/>
      <c r="Y58" s="497"/>
      <c r="Z58" s="476"/>
      <c r="AA58" s="476"/>
      <c r="AB58" s="788"/>
      <c r="AC58" s="477"/>
      <c r="AD58" s="516"/>
      <c r="AE58" s="516"/>
      <c r="AF58" s="516"/>
      <c r="AG58" s="787"/>
      <c r="AH58" s="787"/>
      <c r="AI58" s="880" t="e">
        <f>+AK53+'[3] Bang luong'!$AG$47</f>
        <v>#N/A</v>
      </c>
      <c r="AJ58" s="514"/>
      <c r="AK58" s="830"/>
    </row>
    <row r="59" spans="1:16318">
      <c r="A59" s="9"/>
      <c r="B59" s="516"/>
      <c r="C59" s="477"/>
      <c r="D59" s="9"/>
      <c r="E59" s="509"/>
      <c r="I59" s="476"/>
      <c r="J59" s="476"/>
      <c r="K59" s="476"/>
      <c r="L59" s="476"/>
      <c r="M59" s="517"/>
      <c r="N59" s="956"/>
      <c r="O59" s="477"/>
      <c r="P59" s="497"/>
      <c r="V59" s="476"/>
      <c r="W59" s="957"/>
      <c r="X59" s="962"/>
      <c r="Y59" s="497"/>
      <c r="Z59" s="476"/>
      <c r="AA59" s="476"/>
      <c r="AB59" s="788"/>
      <c r="AC59" s="477"/>
      <c r="AD59" s="516"/>
      <c r="AE59" s="516"/>
      <c r="AF59" s="516"/>
      <c r="AG59" s="787"/>
      <c r="AH59" s="787"/>
      <c r="AI59" s="516"/>
      <c r="AJ59" s="9"/>
    </row>
    <row r="60" spans="1:16318">
      <c r="A60" s="9"/>
      <c r="B60" s="516"/>
      <c r="C60" s="477"/>
      <c r="D60" s="9"/>
      <c r="E60" s="509"/>
      <c r="I60" s="476"/>
      <c r="J60" s="476"/>
      <c r="K60" s="476"/>
      <c r="L60" s="476"/>
      <c r="M60" s="517"/>
      <c r="N60" s="956"/>
      <c r="O60" s="477"/>
      <c r="P60" s="497"/>
      <c r="V60" s="476"/>
      <c r="W60" s="957"/>
      <c r="X60" s="962"/>
      <c r="Y60" s="497"/>
      <c r="Z60" s="476"/>
      <c r="AA60" s="476"/>
      <c r="AB60" s="788"/>
      <c r="AC60" s="477"/>
      <c r="AD60" s="516"/>
      <c r="AE60" s="516"/>
      <c r="AF60" s="516"/>
      <c r="AG60" s="787"/>
      <c r="AH60" s="787"/>
      <c r="AI60" s="516"/>
      <c r="AJ60" s="9"/>
    </row>
    <row r="61" spans="1:16318">
      <c r="A61" s="9"/>
      <c r="B61" s="516"/>
      <c r="C61" s="477"/>
      <c r="D61" s="9"/>
      <c r="E61" s="509"/>
      <c r="I61" s="476"/>
      <c r="J61" s="476"/>
      <c r="K61" s="476"/>
      <c r="L61" s="476"/>
      <c r="M61" s="517"/>
      <c r="N61" s="956"/>
      <c r="O61" s="477"/>
      <c r="P61" s="497"/>
      <c r="V61" s="476"/>
      <c r="W61" s="957"/>
      <c r="X61" s="962"/>
      <c r="Y61" s="497"/>
      <c r="Z61" s="476"/>
      <c r="AA61" s="476"/>
      <c r="AB61" s="788"/>
      <c r="AC61" s="477"/>
      <c r="AD61" s="516"/>
      <c r="AE61" s="516"/>
      <c r="AF61" s="516"/>
      <c r="AG61" s="787"/>
      <c r="AH61" s="787"/>
      <c r="AI61" s="516"/>
      <c r="AJ61" s="9"/>
    </row>
    <row r="62" spans="1:16318" ht="15" customHeight="1">
      <c r="A62" s="516"/>
      <c r="B62" s="1033" t="s">
        <v>542</v>
      </c>
      <c r="C62" s="1033"/>
      <c r="D62" s="516"/>
      <c r="E62" s="228"/>
      <c r="I62" s="477"/>
      <c r="J62" s="477"/>
      <c r="K62" s="477"/>
      <c r="L62" s="477"/>
      <c r="M62" s="1033" t="s">
        <v>734</v>
      </c>
      <c r="N62" s="1033"/>
      <c r="O62" s="1033"/>
      <c r="P62" s="517"/>
      <c r="V62" s="227"/>
      <c r="W62" s="1033" t="s">
        <v>826</v>
      </c>
      <c r="X62" s="1033"/>
      <c r="Y62" s="1033"/>
      <c r="Z62" s="477"/>
      <c r="AA62" s="477"/>
      <c r="AB62" s="789"/>
      <c r="AC62" s="1037" t="s">
        <v>827</v>
      </c>
      <c r="AD62" s="1037"/>
      <c r="AE62" s="1037"/>
      <c r="AF62" s="1037"/>
      <c r="AG62" s="781"/>
      <c r="AH62" s="781"/>
      <c r="AI62" s="515"/>
      <c r="AJ62" s="516"/>
      <c r="AK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/>
      <c r="JS62" s="10"/>
      <c r="JT62" s="10"/>
      <c r="JU62" s="10"/>
      <c r="JV62" s="10"/>
      <c r="JW62" s="10"/>
      <c r="JX62" s="10"/>
      <c r="JY62" s="10"/>
      <c r="JZ62" s="10"/>
      <c r="KA62" s="10"/>
      <c r="KB62" s="10"/>
      <c r="KC62" s="10"/>
      <c r="KD62" s="10"/>
      <c r="KE62" s="10"/>
      <c r="KF62" s="10"/>
      <c r="KG62" s="10"/>
      <c r="KH62" s="10"/>
      <c r="KI62" s="10"/>
      <c r="KJ62" s="10"/>
      <c r="KK62" s="10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OG62" s="10"/>
      <c r="OH62" s="10"/>
      <c r="OI62" s="10"/>
      <c r="OJ62" s="10"/>
      <c r="OK62" s="10"/>
      <c r="OL62" s="10"/>
      <c r="OM62" s="10"/>
      <c r="ON62" s="10"/>
      <c r="OO62" s="10"/>
      <c r="OP62" s="10"/>
      <c r="OQ62" s="10"/>
      <c r="OR62" s="10"/>
      <c r="OS62" s="10"/>
      <c r="OT62" s="10"/>
      <c r="OU62" s="10"/>
      <c r="OV62" s="10"/>
      <c r="OW62" s="10"/>
      <c r="OX62" s="10"/>
      <c r="OY62" s="10"/>
      <c r="OZ62" s="10"/>
      <c r="PA62" s="10"/>
      <c r="PB62" s="10"/>
      <c r="PC62" s="10"/>
      <c r="PD62" s="10"/>
      <c r="PE62" s="10"/>
      <c r="PF62" s="10"/>
      <c r="PG62" s="10"/>
      <c r="PH62" s="10"/>
      <c r="PI62" s="10"/>
      <c r="PJ62" s="10"/>
      <c r="PK62" s="10"/>
      <c r="PL62" s="10"/>
      <c r="PM62" s="10"/>
      <c r="PN62" s="10"/>
      <c r="PO62" s="10"/>
      <c r="PP62" s="10"/>
      <c r="PQ62" s="10"/>
      <c r="PR62" s="10"/>
      <c r="PS62" s="10"/>
      <c r="PT62" s="10"/>
      <c r="PU62" s="10"/>
      <c r="PV62" s="10"/>
      <c r="PW62" s="10"/>
      <c r="PX62" s="10"/>
      <c r="PY62" s="10"/>
      <c r="PZ62" s="10"/>
      <c r="QA62" s="10"/>
      <c r="QB62" s="10"/>
      <c r="QC62" s="10"/>
      <c r="QD62" s="10"/>
      <c r="QE62" s="10"/>
      <c r="QF62" s="10"/>
      <c r="QG62" s="10"/>
      <c r="QH62" s="10"/>
      <c r="QI62" s="10"/>
      <c r="QJ62" s="10"/>
      <c r="QK62" s="10"/>
      <c r="QL62" s="10"/>
      <c r="QM62" s="10"/>
      <c r="QN62" s="10"/>
      <c r="QO62" s="10"/>
      <c r="QP62" s="10"/>
      <c r="QQ62" s="10"/>
      <c r="QR62" s="10"/>
      <c r="QS62" s="10"/>
      <c r="QT62" s="10"/>
      <c r="QU62" s="10"/>
      <c r="QV62" s="10"/>
      <c r="QW62" s="10"/>
      <c r="QX62" s="10"/>
      <c r="QY62" s="10"/>
      <c r="QZ62" s="10"/>
      <c r="RA62" s="10"/>
      <c r="RB62" s="10"/>
      <c r="RC62" s="10"/>
      <c r="RD62" s="10"/>
      <c r="RE62" s="10"/>
      <c r="RF62" s="10"/>
      <c r="RG62" s="10"/>
      <c r="RH62" s="10"/>
      <c r="RI62" s="10"/>
      <c r="RJ62" s="10"/>
      <c r="RK62" s="10"/>
      <c r="RL62" s="10"/>
      <c r="RM62" s="10"/>
      <c r="RN62" s="10"/>
      <c r="RO62" s="10"/>
      <c r="RP62" s="10"/>
      <c r="RQ62" s="10"/>
      <c r="RR62" s="10"/>
      <c r="RS62" s="10"/>
      <c r="RT62" s="10"/>
      <c r="RU62" s="10"/>
      <c r="RV62" s="10"/>
      <c r="RW62" s="10"/>
      <c r="RX62" s="10"/>
      <c r="RY62" s="10"/>
      <c r="RZ62" s="10"/>
      <c r="SA62" s="10"/>
      <c r="SB62" s="10"/>
      <c r="SC62" s="10"/>
      <c r="SD62" s="10"/>
      <c r="SE62" s="10"/>
      <c r="SF62" s="10"/>
      <c r="SG62" s="10"/>
      <c r="SH62" s="10"/>
      <c r="SI62" s="10"/>
      <c r="SJ62" s="10"/>
      <c r="SK62" s="10"/>
      <c r="SL62" s="10"/>
      <c r="SM62" s="10"/>
      <c r="SN62" s="10"/>
      <c r="SO62" s="10"/>
      <c r="SP62" s="10"/>
      <c r="SQ62" s="10"/>
      <c r="SR62" s="10"/>
      <c r="SS62" s="10"/>
      <c r="ST62" s="10"/>
      <c r="SU62" s="10"/>
      <c r="SV62" s="10"/>
      <c r="SW62" s="10"/>
      <c r="SX62" s="10"/>
      <c r="SY62" s="10"/>
      <c r="SZ62" s="10"/>
      <c r="TA62" s="10"/>
      <c r="TB62" s="10"/>
      <c r="TC62" s="10"/>
      <c r="TD62" s="10"/>
      <c r="TE62" s="10"/>
      <c r="TF62" s="10"/>
      <c r="TG62" s="10"/>
      <c r="TH62" s="10"/>
      <c r="TI62" s="10"/>
      <c r="TJ62" s="10"/>
      <c r="TK62" s="10"/>
      <c r="TL62" s="10"/>
      <c r="TM62" s="10"/>
      <c r="TN62" s="10"/>
      <c r="TO62" s="10"/>
      <c r="TP62" s="10"/>
      <c r="TQ62" s="10"/>
      <c r="TR62" s="10"/>
      <c r="TS62" s="10"/>
      <c r="TT62" s="10"/>
      <c r="TU62" s="10"/>
      <c r="TV62" s="10"/>
      <c r="TW62" s="10"/>
      <c r="TX62" s="10"/>
      <c r="TY62" s="10"/>
      <c r="TZ62" s="10"/>
      <c r="UA62" s="10"/>
      <c r="UB62" s="10"/>
      <c r="UC62" s="10"/>
      <c r="UD62" s="10"/>
      <c r="UE62" s="10"/>
      <c r="UF62" s="10"/>
      <c r="UG62" s="10"/>
      <c r="UH62" s="10"/>
      <c r="UI62" s="10"/>
      <c r="UJ62" s="10"/>
      <c r="UK62" s="10"/>
      <c r="UL62" s="10"/>
      <c r="UM62" s="10"/>
      <c r="UN62" s="10"/>
      <c r="UO62" s="10"/>
      <c r="UP62" s="10"/>
      <c r="UQ62" s="10"/>
      <c r="UR62" s="10"/>
      <c r="US62" s="10"/>
      <c r="UT62" s="10"/>
      <c r="UU62" s="10"/>
      <c r="UV62" s="10"/>
      <c r="UW62" s="10"/>
      <c r="UX62" s="10"/>
      <c r="UY62" s="10"/>
      <c r="UZ62" s="10"/>
      <c r="VA62" s="10"/>
      <c r="VB62" s="10"/>
      <c r="VC62" s="10"/>
      <c r="VD62" s="10"/>
      <c r="VE62" s="10"/>
      <c r="VF62" s="10"/>
      <c r="VG62" s="10"/>
      <c r="VH62" s="10"/>
      <c r="VI62" s="10"/>
      <c r="VJ62" s="10"/>
      <c r="VK62" s="10"/>
      <c r="VL62" s="10"/>
      <c r="VM62" s="10"/>
      <c r="VN62" s="10"/>
      <c r="VO62" s="10"/>
      <c r="VP62" s="10"/>
      <c r="VQ62" s="10"/>
      <c r="VR62" s="10"/>
      <c r="VS62" s="10"/>
      <c r="VT62" s="10"/>
      <c r="VU62" s="10"/>
      <c r="VV62" s="10"/>
      <c r="VW62" s="10"/>
      <c r="VX62" s="10"/>
      <c r="VY62" s="10"/>
      <c r="VZ62" s="10"/>
      <c r="WA62" s="10"/>
      <c r="WB62" s="10"/>
      <c r="WC62" s="10"/>
      <c r="WD62" s="10"/>
      <c r="WE62" s="10"/>
      <c r="WF62" s="10"/>
      <c r="WG62" s="10"/>
      <c r="WH62" s="10"/>
      <c r="WI62" s="10"/>
      <c r="WJ62" s="10"/>
      <c r="WK62" s="10"/>
      <c r="WL62" s="10"/>
      <c r="WM62" s="10"/>
      <c r="WN62" s="10"/>
      <c r="WO62" s="10"/>
      <c r="WP62" s="10"/>
      <c r="WQ62" s="10"/>
      <c r="WR62" s="10"/>
      <c r="WS62" s="10"/>
      <c r="WT62" s="10"/>
      <c r="WU62" s="10"/>
      <c r="WV62" s="10"/>
      <c r="WW62" s="10"/>
      <c r="WX62" s="10"/>
      <c r="WY62" s="10"/>
      <c r="WZ62" s="10"/>
      <c r="XA62" s="10"/>
      <c r="XB62" s="10"/>
      <c r="XC62" s="10"/>
      <c r="XD62" s="10"/>
      <c r="XE62" s="10"/>
      <c r="XF62" s="10"/>
      <c r="XG62" s="10"/>
      <c r="XH62" s="10"/>
      <c r="XI62" s="10"/>
      <c r="XJ62" s="10"/>
      <c r="XK62" s="10"/>
      <c r="XL62" s="10"/>
      <c r="XM62" s="10"/>
      <c r="XN62" s="10"/>
      <c r="XO62" s="10"/>
      <c r="XP62" s="10"/>
      <c r="XQ62" s="10"/>
      <c r="XR62" s="10"/>
      <c r="XS62" s="10"/>
      <c r="XT62" s="10"/>
      <c r="XU62" s="10"/>
      <c r="XV62" s="10"/>
      <c r="XW62" s="10"/>
      <c r="XX62" s="10"/>
      <c r="XY62" s="10"/>
      <c r="XZ62" s="10"/>
      <c r="YA62" s="10"/>
      <c r="YB62" s="10"/>
      <c r="YC62" s="10"/>
      <c r="YD62" s="10"/>
      <c r="YE62" s="10"/>
      <c r="YF62" s="10"/>
      <c r="YG62" s="10"/>
      <c r="YH62" s="10"/>
      <c r="YI62" s="10"/>
      <c r="YJ62" s="10"/>
      <c r="YK62" s="10"/>
      <c r="YL62" s="10"/>
      <c r="YM62" s="10"/>
      <c r="YN62" s="10"/>
      <c r="YO62" s="10"/>
      <c r="YP62" s="10"/>
      <c r="YQ62" s="10"/>
      <c r="YR62" s="10"/>
      <c r="YS62" s="10"/>
      <c r="YT62" s="10"/>
      <c r="YU62" s="10"/>
      <c r="YV62" s="10"/>
      <c r="YW62" s="10"/>
      <c r="YX62" s="10"/>
      <c r="YY62" s="10"/>
      <c r="YZ62" s="10"/>
      <c r="ZA62" s="10"/>
      <c r="ZB62" s="10"/>
      <c r="ZC62" s="10"/>
      <c r="ZD62" s="10"/>
      <c r="ZE62" s="10"/>
      <c r="ZF62" s="10"/>
      <c r="ZG62" s="10"/>
      <c r="ZH62" s="10"/>
      <c r="ZI62" s="10"/>
      <c r="ZJ62" s="10"/>
      <c r="ZK62" s="10"/>
      <c r="ZL62" s="10"/>
      <c r="ZM62" s="10"/>
      <c r="ZN62" s="10"/>
      <c r="ZO62" s="10"/>
      <c r="ZP62" s="10"/>
      <c r="ZQ62" s="10"/>
      <c r="ZR62" s="10"/>
      <c r="ZS62" s="10"/>
      <c r="ZT62" s="10"/>
      <c r="ZU62" s="10"/>
      <c r="ZV62" s="10"/>
      <c r="ZW62" s="10"/>
      <c r="ZX62" s="10"/>
      <c r="ZY62" s="10"/>
      <c r="ZZ62" s="10"/>
      <c r="AAA62" s="10"/>
      <c r="AAB62" s="10"/>
      <c r="AAC62" s="10"/>
      <c r="AAD62" s="10"/>
      <c r="AAE62" s="10"/>
      <c r="AAF62" s="10"/>
      <c r="AAG62" s="10"/>
      <c r="AAH62" s="10"/>
      <c r="AAI62" s="10"/>
      <c r="AAJ62" s="10"/>
      <c r="AAK62" s="10"/>
      <c r="AAL62" s="10"/>
      <c r="AAM62" s="10"/>
      <c r="AAN62" s="10"/>
      <c r="AAO62" s="10"/>
      <c r="AAP62" s="10"/>
      <c r="AAQ62" s="10"/>
      <c r="AAR62" s="10"/>
      <c r="AAS62" s="10"/>
      <c r="AAT62" s="10"/>
      <c r="AAU62" s="10"/>
      <c r="AAV62" s="10"/>
      <c r="AAW62" s="10"/>
      <c r="AAX62" s="10"/>
      <c r="AAY62" s="10"/>
      <c r="AAZ62" s="10"/>
      <c r="ABA62" s="10"/>
      <c r="ABB62" s="10"/>
      <c r="ABC62" s="10"/>
      <c r="ABD62" s="10"/>
      <c r="ABE62" s="10"/>
      <c r="ABF62" s="10"/>
      <c r="ABG62" s="10"/>
      <c r="ABH62" s="10"/>
      <c r="ABI62" s="10"/>
      <c r="ABJ62" s="10"/>
      <c r="ABK62" s="10"/>
      <c r="ABL62" s="10"/>
      <c r="ABM62" s="10"/>
      <c r="ABN62" s="10"/>
      <c r="ABO62" s="10"/>
      <c r="ABP62" s="10"/>
      <c r="ABQ62" s="10"/>
      <c r="ABR62" s="10"/>
      <c r="ABS62" s="10"/>
      <c r="ABT62" s="10"/>
      <c r="ABU62" s="10"/>
      <c r="ABV62" s="10"/>
      <c r="ABW62" s="10"/>
      <c r="ABX62" s="10"/>
      <c r="ABY62" s="10"/>
      <c r="ABZ62" s="10"/>
      <c r="ACA62" s="10"/>
      <c r="ACB62" s="10"/>
      <c r="ACC62" s="10"/>
      <c r="ACD62" s="10"/>
      <c r="ACE62" s="10"/>
      <c r="ACF62" s="10"/>
      <c r="ACG62" s="10"/>
      <c r="ACH62" s="10"/>
      <c r="ACI62" s="10"/>
      <c r="ACJ62" s="10"/>
      <c r="ACK62" s="10"/>
      <c r="ACL62" s="10"/>
      <c r="ACM62" s="10"/>
      <c r="ACN62" s="10"/>
      <c r="ACO62" s="10"/>
      <c r="ACP62" s="10"/>
      <c r="ACQ62" s="10"/>
      <c r="ACR62" s="10"/>
      <c r="ACS62" s="10"/>
      <c r="ACT62" s="10"/>
      <c r="ACU62" s="10"/>
      <c r="ACV62" s="10"/>
      <c r="ACW62" s="10"/>
      <c r="ACX62" s="10"/>
      <c r="ACY62" s="10"/>
      <c r="ACZ62" s="10"/>
      <c r="ADA62" s="10"/>
      <c r="ADB62" s="10"/>
      <c r="ADC62" s="10"/>
      <c r="ADD62" s="10"/>
      <c r="ADE62" s="10"/>
      <c r="ADF62" s="10"/>
      <c r="ADG62" s="10"/>
      <c r="ADH62" s="10"/>
      <c r="ADI62" s="10"/>
      <c r="ADJ62" s="10"/>
      <c r="ADK62" s="10"/>
      <c r="ADL62" s="10"/>
      <c r="ADM62" s="10"/>
      <c r="ADN62" s="10"/>
      <c r="ADO62" s="10"/>
      <c r="ADP62" s="10"/>
      <c r="ADQ62" s="10"/>
      <c r="ADR62" s="10"/>
      <c r="ADS62" s="10"/>
      <c r="ADT62" s="10"/>
      <c r="ADU62" s="10"/>
      <c r="ADV62" s="10"/>
      <c r="ADW62" s="10"/>
      <c r="ADX62" s="10"/>
      <c r="ADY62" s="10"/>
      <c r="ADZ62" s="10"/>
      <c r="AEA62" s="10"/>
      <c r="AEB62" s="10"/>
      <c r="AEC62" s="10"/>
      <c r="AED62" s="10"/>
      <c r="AEE62" s="10"/>
      <c r="AEF62" s="10"/>
      <c r="AEG62" s="10"/>
      <c r="AEH62" s="10"/>
      <c r="AEI62" s="10"/>
      <c r="AEJ62" s="10"/>
      <c r="AEK62" s="10"/>
      <c r="AEL62" s="10"/>
      <c r="AEM62" s="10"/>
      <c r="AEN62" s="10"/>
      <c r="AEO62" s="10"/>
      <c r="AEP62" s="10"/>
      <c r="AEQ62" s="10"/>
      <c r="AER62" s="10"/>
      <c r="AES62" s="10"/>
      <c r="AET62" s="10"/>
      <c r="AEU62" s="10"/>
      <c r="AEV62" s="10"/>
      <c r="AEW62" s="10"/>
      <c r="AEX62" s="10"/>
      <c r="AEY62" s="10"/>
      <c r="AEZ62" s="10"/>
      <c r="AFA62" s="10"/>
      <c r="AFB62" s="10"/>
      <c r="AFC62" s="10"/>
      <c r="AFD62" s="10"/>
      <c r="AFE62" s="10"/>
      <c r="AFF62" s="10"/>
      <c r="AFG62" s="10"/>
      <c r="AFH62" s="10"/>
      <c r="AFI62" s="10"/>
      <c r="AFJ62" s="10"/>
      <c r="AFK62" s="10"/>
      <c r="AFL62" s="10"/>
      <c r="AFM62" s="10"/>
      <c r="AFN62" s="10"/>
      <c r="AFO62" s="10"/>
      <c r="AFP62" s="10"/>
      <c r="AFQ62" s="10"/>
      <c r="AFR62" s="10"/>
      <c r="AFS62" s="10"/>
      <c r="AFT62" s="10"/>
      <c r="AFU62" s="10"/>
      <c r="AFV62" s="10"/>
      <c r="AFW62" s="10"/>
      <c r="AFX62" s="10"/>
      <c r="AFY62" s="10"/>
      <c r="AFZ62" s="10"/>
      <c r="AGA62" s="10"/>
      <c r="AGB62" s="10"/>
      <c r="AGC62" s="10"/>
      <c r="AGD62" s="10"/>
      <c r="AGE62" s="10"/>
      <c r="AGF62" s="10"/>
      <c r="AGG62" s="10"/>
      <c r="AGH62" s="10"/>
      <c r="AGI62" s="10"/>
      <c r="AGJ62" s="10"/>
      <c r="AGK62" s="10"/>
      <c r="AGL62" s="10"/>
      <c r="AGM62" s="10"/>
      <c r="AGN62" s="10"/>
      <c r="AGO62" s="10"/>
      <c r="AGP62" s="10"/>
      <c r="AGQ62" s="10"/>
      <c r="AGR62" s="10"/>
      <c r="AGS62" s="10"/>
      <c r="AGT62" s="10"/>
      <c r="AGU62" s="10"/>
      <c r="AGV62" s="10"/>
      <c r="AGW62" s="10"/>
      <c r="AGX62" s="10"/>
      <c r="AGY62" s="10"/>
      <c r="AGZ62" s="10"/>
      <c r="AHA62" s="10"/>
      <c r="AHB62" s="10"/>
      <c r="AHC62" s="10"/>
      <c r="AHD62" s="10"/>
      <c r="AHE62" s="10"/>
      <c r="AHF62" s="10"/>
      <c r="AHG62" s="10"/>
      <c r="AHH62" s="10"/>
      <c r="AHI62" s="10"/>
      <c r="AHJ62" s="10"/>
      <c r="AHK62" s="10"/>
      <c r="AHL62" s="10"/>
      <c r="AHM62" s="10"/>
      <c r="AHN62" s="10"/>
      <c r="AHO62" s="10"/>
      <c r="AHP62" s="10"/>
      <c r="AHQ62" s="10"/>
      <c r="AHR62" s="10"/>
      <c r="AHS62" s="10"/>
      <c r="AHT62" s="10"/>
      <c r="AHU62" s="10"/>
      <c r="AHV62" s="10"/>
      <c r="AHW62" s="10"/>
      <c r="AHX62" s="10"/>
      <c r="AHY62" s="10"/>
      <c r="AHZ62" s="10"/>
      <c r="AIA62" s="10"/>
      <c r="AIB62" s="10"/>
      <c r="AIC62" s="10"/>
      <c r="AID62" s="10"/>
      <c r="AIE62" s="10"/>
      <c r="AIF62" s="10"/>
      <c r="AIG62" s="10"/>
      <c r="AIH62" s="10"/>
      <c r="AII62" s="10"/>
      <c r="AIJ62" s="10"/>
      <c r="AIK62" s="10"/>
      <c r="AIL62" s="10"/>
      <c r="AIM62" s="10"/>
      <c r="AIN62" s="10"/>
      <c r="AIO62" s="10"/>
      <c r="AIP62" s="10"/>
      <c r="AIQ62" s="10"/>
      <c r="AIR62" s="10"/>
      <c r="AIS62" s="10"/>
      <c r="AIT62" s="10"/>
      <c r="AIU62" s="10"/>
      <c r="AIV62" s="10"/>
      <c r="AIW62" s="10"/>
      <c r="AIX62" s="10"/>
      <c r="AIY62" s="10"/>
      <c r="AIZ62" s="10"/>
      <c r="AJA62" s="10"/>
      <c r="AJB62" s="10"/>
      <c r="AJC62" s="10"/>
      <c r="AJD62" s="10"/>
      <c r="AJE62" s="10"/>
      <c r="AJF62" s="10"/>
      <c r="AJG62" s="10"/>
      <c r="AJH62" s="10"/>
      <c r="AJI62" s="10"/>
      <c r="AJJ62" s="10"/>
      <c r="AJK62" s="10"/>
      <c r="AJL62" s="10"/>
      <c r="AJM62" s="10"/>
      <c r="AJN62" s="10"/>
      <c r="AJO62" s="10"/>
      <c r="AJP62" s="10"/>
      <c r="AJQ62" s="10"/>
      <c r="AJR62" s="10"/>
      <c r="AJS62" s="10"/>
      <c r="AJT62" s="10"/>
      <c r="AJU62" s="10"/>
      <c r="AJV62" s="10"/>
      <c r="AJW62" s="10"/>
      <c r="AJX62" s="10"/>
      <c r="AJY62" s="10"/>
      <c r="AJZ62" s="10"/>
      <c r="AKA62" s="10"/>
      <c r="AKB62" s="10"/>
      <c r="AKC62" s="10"/>
      <c r="AKD62" s="10"/>
      <c r="AKE62" s="10"/>
      <c r="AKF62" s="10"/>
      <c r="AKG62" s="10"/>
      <c r="AKH62" s="10"/>
      <c r="AKI62" s="10"/>
      <c r="AKJ62" s="10"/>
      <c r="AKK62" s="10"/>
      <c r="AKL62" s="10"/>
      <c r="AKM62" s="10"/>
      <c r="AKN62" s="10"/>
      <c r="AKO62" s="10"/>
      <c r="AKP62" s="10"/>
      <c r="AKQ62" s="10"/>
      <c r="AKR62" s="10"/>
      <c r="AKS62" s="10"/>
      <c r="AKT62" s="10"/>
      <c r="AKU62" s="10"/>
      <c r="AKV62" s="10"/>
      <c r="AKW62" s="10"/>
      <c r="AKX62" s="10"/>
      <c r="AKY62" s="10"/>
      <c r="AKZ62" s="10"/>
      <c r="ALA62" s="10"/>
      <c r="ALB62" s="10"/>
      <c r="ALC62" s="10"/>
      <c r="ALD62" s="10"/>
      <c r="ALE62" s="10"/>
      <c r="ALF62" s="10"/>
      <c r="ALG62" s="10"/>
      <c r="ALH62" s="10"/>
      <c r="ALI62" s="10"/>
      <c r="ALJ62" s="10"/>
      <c r="ALK62" s="10"/>
      <c r="ALL62" s="10"/>
      <c r="ALM62" s="10"/>
      <c r="ALN62" s="10"/>
      <c r="ALO62" s="10"/>
      <c r="ALP62" s="10"/>
      <c r="ALQ62" s="10"/>
      <c r="ALR62" s="10"/>
      <c r="ALS62" s="10"/>
      <c r="ALT62" s="10"/>
      <c r="ALU62" s="10"/>
      <c r="ALV62" s="10"/>
      <c r="ALW62" s="10"/>
      <c r="ALX62" s="10"/>
      <c r="ALY62" s="10"/>
      <c r="ALZ62" s="10"/>
      <c r="AMA62" s="10"/>
      <c r="AMB62" s="10"/>
      <c r="AMC62" s="10"/>
      <c r="AMD62" s="10"/>
      <c r="AME62" s="10"/>
      <c r="AMF62" s="10"/>
      <c r="AMG62" s="10"/>
      <c r="AMH62" s="10"/>
      <c r="AMI62" s="10"/>
      <c r="AMJ62" s="10"/>
      <c r="AMK62" s="10"/>
      <c r="AML62" s="10"/>
      <c r="AMM62" s="10"/>
      <c r="AMN62" s="10"/>
      <c r="AMO62" s="10"/>
      <c r="AMP62" s="10"/>
      <c r="AMQ62" s="10"/>
      <c r="AMR62" s="10"/>
      <c r="AMS62" s="10"/>
      <c r="AMT62" s="10"/>
      <c r="AMU62" s="10"/>
      <c r="AMV62" s="10"/>
      <c r="AMW62" s="10"/>
      <c r="AMX62" s="10"/>
      <c r="AMY62" s="10"/>
      <c r="AMZ62" s="10"/>
      <c r="ANA62" s="10"/>
      <c r="ANB62" s="10"/>
      <c r="ANC62" s="10"/>
      <c r="AND62" s="10"/>
      <c r="ANE62" s="10"/>
      <c r="ANF62" s="10"/>
      <c r="ANG62" s="10"/>
      <c r="ANH62" s="10"/>
      <c r="ANI62" s="10"/>
      <c r="ANJ62" s="10"/>
      <c r="ANK62" s="10"/>
      <c r="ANL62" s="10"/>
      <c r="ANM62" s="10"/>
      <c r="ANN62" s="10"/>
      <c r="ANO62" s="10"/>
      <c r="ANP62" s="10"/>
      <c r="ANQ62" s="10"/>
      <c r="ANR62" s="10"/>
      <c r="ANS62" s="10"/>
      <c r="ANT62" s="10"/>
      <c r="ANU62" s="10"/>
      <c r="ANV62" s="10"/>
      <c r="ANW62" s="10"/>
      <c r="ANX62" s="10"/>
      <c r="ANY62" s="10"/>
      <c r="ANZ62" s="10"/>
      <c r="AOA62" s="10"/>
      <c r="AOB62" s="10"/>
      <c r="AOC62" s="10"/>
      <c r="AOD62" s="10"/>
      <c r="AOE62" s="10"/>
      <c r="AOF62" s="10"/>
      <c r="AOG62" s="10"/>
      <c r="AOH62" s="10"/>
      <c r="AOI62" s="10"/>
      <c r="AOJ62" s="10"/>
      <c r="AOK62" s="10"/>
      <c r="AOL62" s="10"/>
      <c r="AOM62" s="10"/>
      <c r="AON62" s="10"/>
      <c r="AOO62" s="10"/>
      <c r="AOP62" s="10"/>
      <c r="AOQ62" s="10"/>
      <c r="AOR62" s="10"/>
      <c r="AOS62" s="10"/>
      <c r="AOT62" s="10"/>
      <c r="AOU62" s="10"/>
      <c r="AOV62" s="10"/>
      <c r="AOW62" s="10"/>
      <c r="AOX62" s="10"/>
      <c r="AOY62" s="10"/>
      <c r="AOZ62" s="10"/>
      <c r="APA62" s="10"/>
      <c r="APB62" s="10"/>
      <c r="APC62" s="10"/>
      <c r="APD62" s="10"/>
      <c r="APE62" s="10"/>
      <c r="APF62" s="10"/>
      <c r="APG62" s="10"/>
      <c r="APH62" s="10"/>
      <c r="API62" s="10"/>
      <c r="APJ62" s="10"/>
      <c r="APK62" s="10"/>
      <c r="APL62" s="10"/>
      <c r="APM62" s="10"/>
      <c r="APN62" s="10"/>
      <c r="APO62" s="10"/>
      <c r="APP62" s="10"/>
      <c r="APQ62" s="10"/>
      <c r="APR62" s="10"/>
      <c r="APS62" s="10"/>
      <c r="APT62" s="10"/>
      <c r="APU62" s="10"/>
      <c r="APV62" s="10"/>
      <c r="APW62" s="10"/>
      <c r="APX62" s="10"/>
      <c r="APY62" s="10"/>
      <c r="APZ62" s="10"/>
      <c r="AQA62" s="10"/>
      <c r="AQB62" s="10"/>
      <c r="AQC62" s="10"/>
      <c r="AQD62" s="10"/>
      <c r="AQE62" s="10"/>
      <c r="AQF62" s="10"/>
      <c r="AQG62" s="10"/>
      <c r="AQH62" s="10"/>
      <c r="AQI62" s="10"/>
      <c r="AQJ62" s="10"/>
      <c r="AQK62" s="10"/>
      <c r="AQL62" s="10"/>
      <c r="AQM62" s="10"/>
      <c r="AQN62" s="10"/>
      <c r="AQO62" s="10"/>
      <c r="AQP62" s="10"/>
      <c r="AQQ62" s="10"/>
      <c r="AQR62" s="10"/>
      <c r="AQS62" s="10"/>
      <c r="AQT62" s="10"/>
      <c r="AQU62" s="10"/>
      <c r="AQV62" s="10"/>
      <c r="AQW62" s="10"/>
      <c r="AQX62" s="10"/>
      <c r="AQY62" s="10"/>
      <c r="AQZ62" s="10"/>
      <c r="ARA62" s="10"/>
      <c r="ARB62" s="10"/>
      <c r="ARC62" s="10"/>
      <c r="ARD62" s="10"/>
      <c r="ARE62" s="10"/>
      <c r="ARF62" s="10"/>
      <c r="ARG62" s="10"/>
      <c r="ARH62" s="10"/>
      <c r="ARI62" s="10"/>
      <c r="ARJ62" s="10"/>
      <c r="ARK62" s="10"/>
      <c r="ARL62" s="10"/>
      <c r="ARM62" s="10"/>
      <c r="ARN62" s="10"/>
      <c r="ARO62" s="10"/>
      <c r="ARP62" s="10"/>
      <c r="ARQ62" s="10"/>
      <c r="ARR62" s="10"/>
      <c r="ARS62" s="10"/>
      <c r="ART62" s="10"/>
      <c r="ARU62" s="10"/>
      <c r="ARV62" s="10"/>
      <c r="ARW62" s="10"/>
      <c r="ARX62" s="10"/>
      <c r="ARY62" s="10"/>
      <c r="ARZ62" s="10"/>
      <c r="ASA62" s="10"/>
      <c r="ASB62" s="10"/>
      <c r="ASC62" s="10"/>
      <c r="ASD62" s="10"/>
      <c r="ASE62" s="10"/>
      <c r="ASF62" s="10"/>
      <c r="ASG62" s="10"/>
      <c r="ASH62" s="10"/>
      <c r="ASI62" s="10"/>
      <c r="ASJ62" s="10"/>
      <c r="ASK62" s="10"/>
      <c r="ASL62" s="10"/>
      <c r="ASM62" s="10"/>
      <c r="ASN62" s="10"/>
      <c r="ASO62" s="10"/>
      <c r="ASP62" s="10"/>
      <c r="ASQ62" s="10"/>
      <c r="ASR62" s="10"/>
      <c r="ASS62" s="10"/>
      <c r="AST62" s="10"/>
      <c r="ASU62" s="10"/>
      <c r="ASV62" s="10"/>
      <c r="ASW62" s="10"/>
      <c r="ASX62" s="10"/>
      <c r="ASY62" s="10"/>
      <c r="ASZ62" s="10"/>
      <c r="ATA62" s="10"/>
      <c r="ATB62" s="10"/>
      <c r="ATC62" s="10"/>
      <c r="ATD62" s="10"/>
      <c r="ATE62" s="10"/>
      <c r="ATF62" s="10"/>
      <c r="ATG62" s="10"/>
      <c r="ATH62" s="10"/>
      <c r="ATI62" s="10"/>
      <c r="ATJ62" s="10"/>
      <c r="ATK62" s="10"/>
      <c r="ATL62" s="10"/>
      <c r="ATM62" s="10"/>
      <c r="ATN62" s="10"/>
      <c r="ATO62" s="10"/>
      <c r="ATP62" s="10"/>
      <c r="ATQ62" s="10"/>
      <c r="ATR62" s="10"/>
      <c r="ATS62" s="10"/>
      <c r="ATT62" s="10"/>
      <c r="ATU62" s="10"/>
      <c r="ATV62" s="10"/>
      <c r="ATW62" s="10"/>
      <c r="ATX62" s="10"/>
      <c r="ATY62" s="10"/>
      <c r="ATZ62" s="10"/>
      <c r="AUA62" s="10"/>
      <c r="AUB62" s="10"/>
      <c r="AUC62" s="10"/>
      <c r="AUD62" s="10"/>
      <c r="AUE62" s="10"/>
      <c r="AUF62" s="10"/>
      <c r="AUG62" s="10"/>
      <c r="AUH62" s="10"/>
      <c r="AUI62" s="10"/>
      <c r="AUJ62" s="10"/>
      <c r="AUK62" s="10"/>
      <c r="AUL62" s="10"/>
      <c r="AUM62" s="10"/>
      <c r="AUN62" s="10"/>
      <c r="AUO62" s="10"/>
      <c r="AUP62" s="10"/>
      <c r="AUQ62" s="10"/>
      <c r="AUR62" s="10"/>
      <c r="AUS62" s="10"/>
      <c r="AUT62" s="10"/>
      <c r="AUU62" s="10"/>
      <c r="AUV62" s="10"/>
      <c r="AUW62" s="10"/>
      <c r="AUX62" s="10"/>
      <c r="AUY62" s="10"/>
      <c r="AUZ62" s="10"/>
      <c r="AVA62" s="10"/>
      <c r="AVB62" s="10"/>
      <c r="AVC62" s="10"/>
      <c r="AVD62" s="10"/>
      <c r="AVE62" s="10"/>
      <c r="AVF62" s="10"/>
      <c r="AVG62" s="10"/>
      <c r="AVH62" s="10"/>
      <c r="AVI62" s="10"/>
      <c r="AVJ62" s="10"/>
      <c r="AVK62" s="10"/>
      <c r="AVL62" s="10"/>
      <c r="AVM62" s="10"/>
      <c r="AVN62" s="10"/>
      <c r="AVO62" s="10"/>
      <c r="AVP62" s="10"/>
      <c r="AVQ62" s="10"/>
      <c r="AVR62" s="10"/>
      <c r="AVS62" s="10"/>
      <c r="AVT62" s="10"/>
      <c r="AVU62" s="10"/>
      <c r="AVV62" s="10"/>
      <c r="AVW62" s="10"/>
      <c r="AVX62" s="10"/>
      <c r="AVY62" s="10"/>
      <c r="AVZ62" s="10"/>
      <c r="AWA62" s="10"/>
      <c r="AWB62" s="10"/>
      <c r="AWC62" s="10"/>
      <c r="AWD62" s="10"/>
      <c r="AWE62" s="10"/>
      <c r="AWF62" s="10"/>
      <c r="AWG62" s="10"/>
      <c r="AWH62" s="10"/>
      <c r="AWI62" s="10"/>
      <c r="AWJ62" s="10"/>
      <c r="AWK62" s="10"/>
      <c r="AWL62" s="10"/>
      <c r="AWM62" s="10"/>
      <c r="AWN62" s="10"/>
      <c r="AWO62" s="10"/>
      <c r="AWP62" s="10"/>
      <c r="AWQ62" s="10"/>
      <c r="AWR62" s="10"/>
      <c r="AWS62" s="10"/>
      <c r="AWT62" s="10"/>
      <c r="AWU62" s="10"/>
      <c r="AWV62" s="10"/>
      <c r="AWW62" s="10"/>
      <c r="AWX62" s="10"/>
      <c r="AWY62" s="10"/>
      <c r="AWZ62" s="10"/>
      <c r="AXA62" s="10"/>
      <c r="AXB62" s="10"/>
      <c r="AXC62" s="10"/>
      <c r="AXD62" s="10"/>
      <c r="AXE62" s="10"/>
      <c r="AXF62" s="10"/>
      <c r="AXG62" s="10"/>
      <c r="AXH62" s="10"/>
      <c r="AXI62" s="10"/>
      <c r="AXJ62" s="10"/>
      <c r="AXK62" s="10"/>
      <c r="AXL62" s="10"/>
      <c r="AXM62" s="10"/>
      <c r="AXN62" s="10"/>
      <c r="AXO62" s="10"/>
      <c r="AXP62" s="10"/>
      <c r="AXQ62" s="10"/>
      <c r="AXR62" s="10"/>
      <c r="AXS62" s="10"/>
      <c r="AXT62" s="10"/>
      <c r="AXU62" s="10"/>
      <c r="AXV62" s="10"/>
      <c r="AXW62" s="10"/>
      <c r="AXX62" s="10"/>
      <c r="AXY62" s="10"/>
      <c r="AXZ62" s="10"/>
      <c r="AYA62" s="10"/>
      <c r="AYB62" s="10"/>
      <c r="AYC62" s="10"/>
      <c r="AYD62" s="10"/>
      <c r="AYE62" s="10"/>
      <c r="AYF62" s="10"/>
      <c r="AYG62" s="10"/>
      <c r="AYH62" s="10"/>
      <c r="AYI62" s="10"/>
      <c r="AYJ62" s="10"/>
      <c r="AYK62" s="10"/>
      <c r="AYL62" s="10"/>
      <c r="AYM62" s="10"/>
      <c r="AYN62" s="10"/>
      <c r="AYO62" s="10"/>
      <c r="AYP62" s="10"/>
      <c r="AYQ62" s="10"/>
      <c r="AYR62" s="10"/>
      <c r="AYS62" s="10"/>
      <c r="AYT62" s="10"/>
      <c r="AYU62" s="10"/>
      <c r="AYV62" s="10"/>
      <c r="AYW62" s="10"/>
      <c r="AYX62" s="10"/>
      <c r="AYY62" s="10"/>
      <c r="AYZ62" s="10"/>
      <c r="AZA62" s="10"/>
      <c r="AZB62" s="10"/>
      <c r="AZC62" s="10"/>
      <c r="AZD62" s="10"/>
      <c r="AZE62" s="10"/>
      <c r="AZF62" s="10"/>
      <c r="AZG62" s="10"/>
      <c r="AZH62" s="10"/>
      <c r="AZI62" s="10"/>
      <c r="AZJ62" s="10"/>
      <c r="AZK62" s="10"/>
      <c r="AZL62" s="10"/>
      <c r="AZM62" s="10"/>
      <c r="AZN62" s="10"/>
      <c r="AZO62" s="10"/>
      <c r="AZP62" s="10"/>
      <c r="AZQ62" s="10"/>
      <c r="AZR62" s="10"/>
      <c r="AZS62" s="10"/>
      <c r="AZT62" s="10"/>
      <c r="AZU62" s="10"/>
      <c r="AZV62" s="10"/>
      <c r="AZW62" s="10"/>
      <c r="AZX62" s="10"/>
      <c r="AZY62" s="10"/>
      <c r="AZZ62" s="10"/>
      <c r="BAA62" s="10"/>
      <c r="BAB62" s="10"/>
      <c r="BAC62" s="10"/>
      <c r="BAD62" s="10"/>
      <c r="BAE62" s="10"/>
      <c r="BAF62" s="10"/>
      <c r="BAG62" s="10"/>
      <c r="BAH62" s="10"/>
      <c r="BAI62" s="10"/>
      <c r="BAJ62" s="10"/>
      <c r="BAK62" s="10"/>
      <c r="BAL62" s="10"/>
      <c r="BAM62" s="10"/>
      <c r="BAN62" s="10"/>
      <c r="BAO62" s="10"/>
      <c r="BAP62" s="10"/>
      <c r="BAQ62" s="10"/>
      <c r="BAR62" s="10"/>
      <c r="BAS62" s="10"/>
      <c r="BAT62" s="10"/>
      <c r="BAU62" s="10"/>
      <c r="BAV62" s="10"/>
      <c r="BAW62" s="10"/>
      <c r="BAX62" s="10"/>
      <c r="BAY62" s="10"/>
      <c r="BAZ62" s="10"/>
      <c r="BBA62" s="10"/>
      <c r="BBB62" s="10"/>
      <c r="BBC62" s="10"/>
      <c r="BBD62" s="10"/>
      <c r="BBE62" s="10"/>
      <c r="BBF62" s="10"/>
      <c r="BBG62" s="10"/>
      <c r="BBH62" s="10"/>
      <c r="BBI62" s="10"/>
      <c r="BBJ62" s="10"/>
      <c r="BBK62" s="10"/>
      <c r="BBL62" s="10"/>
      <c r="BBM62" s="10"/>
      <c r="BBN62" s="10"/>
      <c r="BBO62" s="10"/>
      <c r="BBP62" s="10"/>
      <c r="BBQ62" s="10"/>
      <c r="BBR62" s="10"/>
      <c r="BBS62" s="10"/>
      <c r="BBT62" s="10"/>
      <c r="BBU62" s="10"/>
      <c r="BBV62" s="10"/>
      <c r="BBW62" s="10"/>
      <c r="BBX62" s="10"/>
      <c r="BBY62" s="10"/>
      <c r="BBZ62" s="10"/>
      <c r="BCA62" s="10"/>
      <c r="BCB62" s="10"/>
      <c r="BCC62" s="10"/>
      <c r="BCD62" s="10"/>
      <c r="BCE62" s="10"/>
      <c r="BCF62" s="10"/>
      <c r="BCG62" s="10"/>
      <c r="BCH62" s="10"/>
      <c r="BCI62" s="10"/>
      <c r="BCJ62" s="10"/>
      <c r="BCK62" s="10"/>
      <c r="BCL62" s="10"/>
      <c r="BCM62" s="10"/>
      <c r="BCN62" s="10"/>
      <c r="BCO62" s="10"/>
      <c r="BCP62" s="10"/>
      <c r="BCQ62" s="10"/>
      <c r="BCR62" s="10"/>
      <c r="BCS62" s="10"/>
      <c r="BCT62" s="10"/>
      <c r="BCU62" s="10"/>
      <c r="BCV62" s="10"/>
      <c r="BCW62" s="10"/>
      <c r="BCX62" s="10"/>
      <c r="BCY62" s="10"/>
      <c r="BCZ62" s="10"/>
      <c r="BDA62" s="10"/>
      <c r="BDB62" s="10"/>
      <c r="BDC62" s="10"/>
      <c r="BDD62" s="10"/>
      <c r="BDE62" s="10"/>
      <c r="BDF62" s="10"/>
      <c r="BDG62" s="10"/>
      <c r="BDH62" s="10"/>
      <c r="BDI62" s="10"/>
      <c r="BDJ62" s="10"/>
      <c r="BDK62" s="10"/>
      <c r="BDL62" s="10"/>
      <c r="BDM62" s="10"/>
      <c r="BDN62" s="10"/>
      <c r="BDO62" s="10"/>
      <c r="BDP62" s="10"/>
      <c r="BDQ62" s="10"/>
      <c r="BDR62" s="10"/>
      <c r="BDS62" s="10"/>
      <c r="BDT62" s="10"/>
      <c r="BDU62" s="10"/>
      <c r="BDV62" s="10"/>
      <c r="BDW62" s="10"/>
      <c r="BDX62" s="10"/>
      <c r="BDY62" s="10"/>
      <c r="BDZ62" s="10"/>
      <c r="BEA62" s="10"/>
      <c r="BEB62" s="10"/>
      <c r="BEC62" s="10"/>
      <c r="BED62" s="10"/>
      <c r="BEE62" s="10"/>
      <c r="BEF62" s="10"/>
      <c r="BEG62" s="10"/>
      <c r="BEH62" s="10"/>
      <c r="BEI62" s="10"/>
      <c r="BEJ62" s="10"/>
      <c r="BEK62" s="10"/>
      <c r="BEL62" s="10"/>
      <c r="BEM62" s="10"/>
      <c r="BEN62" s="10"/>
      <c r="BEO62" s="10"/>
      <c r="BEP62" s="10"/>
      <c r="BEQ62" s="10"/>
      <c r="BER62" s="10"/>
      <c r="BES62" s="10"/>
      <c r="BET62" s="10"/>
      <c r="BEU62" s="10"/>
      <c r="BEV62" s="10"/>
      <c r="BEW62" s="10"/>
      <c r="BEX62" s="10"/>
      <c r="BEY62" s="10"/>
      <c r="BEZ62" s="10"/>
      <c r="BFA62" s="10"/>
      <c r="BFB62" s="10"/>
      <c r="BFC62" s="10"/>
      <c r="BFD62" s="10"/>
      <c r="BFE62" s="10"/>
      <c r="BFF62" s="10"/>
      <c r="BFG62" s="10"/>
      <c r="BFH62" s="10"/>
      <c r="BFI62" s="10"/>
      <c r="BFJ62" s="10"/>
      <c r="BFK62" s="10"/>
      <c r="BFL62" s="10"/>
      <c r="BFM62" s="10"/>
      <c r="BFN62" s="10"/>
      <c r="BFO62" s="10"/>
      <c r="BFP62" s="10"/>
      <c r="BFQ62" s="10"/>
      <c r="BFR62" s="10"/>
      <c r="BFS62" s="10"/>
      <c r="BFT62" s="10"/>
      <c r="BFU62" s="10"/>
      <c r="BFV62" s="10"/>
      <c r="BFW62" s="10"/>
      <c r="BFX62" s="10"/>
      <c r="BFY62" s="10"/>
      <c r="BFZ62" s="10"/>
      <c r="BGA62" s="10"/>
      <c r="BGB62" s="10"/>
      <c r="BGC62" s="10"/>
      <c r="BGD62" s="10"/>
      <c r="BGE62" s="10"/>
      <c r="BGF62" s="10"/>
      <c r="BGG62" s="10"/>
      <c r="BGH62" s="10"/>
      <c r="BGI62" s="10"/>
      <c r="BGJ62" s="10"/>
      <c r="BGK62" s="10"/>
      <c r="BGL62" s="10"/>
      <c r="BGM62" s="10"/>
      <c r="BGN62" s="10"/>
      <c r="BGO62" s="10"/>
      <c r="BGP62" s="10"/>
      <c r="BGQ62" s="10"/>
      <c r="BGR62" s="10"/>
      <c r="BGS62" s="10"/>
      <c r="BGT62" s="10"/>
      <c r="BGU62" s="10"/>
      <c r="BGV62" s="10"/>
      <c r="BGW62" s="10"/>
      <c r="BGX62" s="10"/>
      <c r="BGY62" s="10"/>
      <c r="BGZ62" s="10"/>
      <c r="BHA62" s="10"/>
      <c r="BHB62" s="10"/>
      <c r="BHC62" s="10"/>
      <c r="BHD62" s="10"/>
      <c r="BHE62" s="10"/>
      <c r="BHF62" s="10"/>
      <c r="BHG62" s="10"/>
      <c r="BHH62" s="10"/>
      <c r="BHI62" s="10"/>
      <c r="BHJ62" s="10"/>
      <c r="BHK62" s="10"/>
      <c r="BHL62" s="10"/>
      <c r="BHM62" s="10"/>
      <c r="BHN62" s="10"/>
      <c r="BHO62" s="10"/>
      <c r="BHP62" s="10"/>
      <c r="BHQ62" s="10"/>
      <c r="BHR62" s="10"/>
      <c r="BHS62" s="10"/>
      <c r="BHT62" s="10"/>
      <c r="BHU62" s="10"/>
      <c r="BHV62" s="10"/>
      <c r="BHW62" s="10"/>
      <c r="BHX62" s="10"/>
      <c r="BHY62" s="10"/>
      <c r="BHZ62" s="10"/>
      <c r="BIA62" s="10"/>
      <c r="BIB62" s="10"/>
      <c r="BIC62" s="10"/>
      <c r="BID62" s="10"/>
      <c r="BIE62" s="10"/>
      <c r="BIF62" s="10"/>
      <c r="BIG62" s="10"/>
      <c r="BIH62" s="10"/>
      <c r="BII62" s="10"/>
      <c r="BIJ62" s="10"/>
      <c r="BIK62" s="10"/>
      <c r="BIL62" s="10"/>
      <c r="BIM62" s="10"/>
      <c r="BIN62" s="10"/>
      <c r="BIO62" s="10"/>
      <c r="BIP62" s="10"/>
      <c r="BIQ62" s="10"/>
      <c r="BIR62" s="10"/>
      <c r="BIS62" s="10"/>
      <c r="BIT62" s="10"/>
      <c r="BIU62" s="10"/>
      <c r="BIV62" s="10"/>
      <c r="BIW62" s="10"/>
      <c r="BIX62" s="10"/>
      <c r="BIY62" s="10"/>
      <c r="BIZ62" s="10"/>
      <c r="BJA62" s="10"/>
      <c r="BJB62" s="10"/>
      <c r="BJC62" s="10"/>
      <c r="BJD62" s="10"/>
      <c r="BJE62" s="10"/>
      <c r="BJF62" s="10"/>
      <c r="BJG62" s="10"/>
      <c r="BJH62" s="10"/>
      <c r="BJI62" s="10"/>
      <c r="BJJ62" s="10"/>
      <c r="BJK62" s="10"/>
      <c r="BJL62" s="10"/>
      <c r="BJM62" s="10"/>
      <c r="BJN62" s="10"/>
      <c r="BJO62" s="10"/>
      <c r="BJP62" s="10"/>
      <c r="BJQ62" s="10"/>
      <c r="BJR62" s="10"/>
      <c r="BJS62" s="10"/>
      <c r="BJT62" s="10"/>
      <c r="BJU62" s="10"/>
      <c r="BJV62" s="10"/>
      <c r="BJW62" s="10"/>
      <c r="BJX62" s="10"/>
      <c r="BJY62" s="10"/>
      <c r="BJZ62" s="10"/>
      <c r="BKA62" s="10"/>
      <c r="BKB62" s="10"/>
      <c r="BKC62" s="10"/>
      <c r="BKD62" s="10"/>
      <c r="BKE62" s="10"/>
      <c r="BKF62" s="10"/>
      <c r="BKG62" s="10"/>
      <c r="BKH62" s="10"/>
      <c r="BKI62" s="10"/>
      <c r="BKJ62" s="10"/>
      <c r="BKK62" s="10"/>
      <c r="BKL62" s="10"/>
      <c r="BKM62" s="10"/>
      <c r="BKN62" s="10"/>
      <c r="BKO62" s="10"/>
      <c r="BKP62" s="10"/>
      <c r="BKQ62" s="10"/>
      <c r="BKR62" s="10"/>
      <c r="BKS62" s="10"/>
      <c r="BKT62" s="10"/>
      <c r="BKU62" s="10"/>
      <c r="BKV62" s="10"/>
      <c r="BKW62" s="10"/>
      <c r="BKX62" s="10"/>
      <c r="BKY62" s="10"/>
      <c r="BKZ62" s="10"/>
      <c r="BLA62" s="10"/>
      <c r="BLB62" s="10"/>
      <c r="BLC62" s="10"/>
      <c r="BLD62" s="10"/>
      <c r="BLE62" s="10"/>
      <c r="BLF62" s="10"/>
      <c r="BLG62" s="10"/>
      <c r="BLH62" s="10"/>
      <c r="BLI62" s="10"/>
      <c r="BLJ62" s="10"/>
      <c r="BLK62" s="10"/>
      <c r="BLL62" s="10"/>
      <c r="BLM62" s="10"/>
      <c r="BLN62" s="10"/>
      <c r="BLO62" s="10"/>
      <c r="BLP62" s="10"/>
      <c r="BLQ62" s="10"/>
      <c r="BLR62" s="10"/>
      <c r="BLS62" s="10"/>
      <c r="BLT62" s="10"/>
      <c r="BLU62" s="10"/>
      <c r="BLV62" s="10"/>
      <c r="BLW62" s="10"/>
      <c r="BLX62" s="10"/>
      <c r="BLY62" s="10"/>
      <c r="BLZ62" s="10"/>
      <c r="BMA62" s="10"/>
      <c r="BMB62" s="10"/>
      <c r="BMC62" s="10"/>
      <c r="BMD62" s="10"/>
      <c r="BME62" s="10"/>
      <c r="BMF62" s="10"/>
      <c r="BMG62" s="10"/>
      <c r="BMH62" s="10"/>
      <c r="BMI62" s="10"/>
      <c r="BMJ62" s="10"/>
      <c r="BMK62" s="10"/>
      <c r="BML62" s="10"/>
      <c r="BMM62" s="10"/>
      <c r="BMN62" s="10"/>
      <c r="BMO62" s="10"/>
      <c r="BMP62" s="10"/>
      <c r="BMQ62" s="10"/>
      <c r="BMR62" s="10"/>
      <c r="BMS62" s="10"/>
      <c r="BMT62" s="10"/>
      <c r="BMU62" s="10"/>
      <c r="BMV62" s="10"/>
      <c r="BMW62" s="10"/>
      <c r="BMX62" s="10"/>
      <c r="BMY62" s="10"/>
      <c r="BMZ62" s="10"/>
      <c r="BNA62" s="10"/>
      <c r="BNB62" s="10"/>
      <c r="BNC62" s="10"/>
      <c r="BND62" s="10"/>
      <c r="BNE62" s="10"/>
      <c r="BNF62" s="10"/>
      <c r="BNG62" s="10"/>
      <c r="BNH62" s="10"/>
      <c r="BNI62" s="10"/>
      <c r="BNJ62" s="10"/>
      <c r="BNK62" s="10"/>
      <c r="BNL62" s="10"/>
      <c r="BNM62" s="10"/>
      <c r="BNN62" s="10"/>
      <c r="BNO62" s="10"/>
      <c r="BNP62" s="10"/>
      <c r="BNQ62" s="10"/>
      <c r="BNR62" s="10"/>
      <c r="BNS62" s="10"/>
      <c r="BNT62" s="10"/>
      <c r="BNU62" s="10"/>
      <c r="BNV62" s="10"/>
      <c r="BNW62" s="10"/>
      <c r="BNX62" s="10"/>
      <c r="BNY62" s="10"/>
      <c r="BNZ62" s="10"/>
      <c r="BOA62" s="10"/>
      <c r="BOB62" s="10"/>
      <c r="BOC62" s="10"/>
      <c r="BOD62" s="10"/>
      <c r="BOE62" s="10"/>
      <c r="BOF62" s="10"/>
      <c r="BOG62" s="10"/>
      <c r="BOH62" s="10"/>
      <c r="BOI62" s="10"/>
      <c r="BOJ62" s="10"/>
      <c r="BOK62" s="10"/>
      <c r="BOL62" s="10"/>
      <c r="BOM62" s="10"/>
      <c r="BON62" s="10"/>
      <c r="BOO62" s="10"/>
      <c r="BOP62" s="10"/>
      <c r="BOQ62" s="10"/>
      <c r="BOR62" s="10"/>
      <c r="BOS62" s="10"/>
      <c r="BOT62" s="10"/>
      <c r="BOU62" s="10"/>
      <c r="BOV62" s="10"/>
      <c r="BOW62" s="10"/>
      <c r="BOX62" s="10"/>
      <c r="BOY62" s="10"/>
      <c r="BOZ62" s="10"/>
      <c r="BPA62" s="10"/>
      <c r="BPB62" s="10"/>
      <c r="BPC62" s="10"/>
      <c r="BPD62" s="10"/>
      <c r="BPE62" s="10"/>
      <c r="BPF62" s="10"/>
      <c r="BPG62" s="10"/>
      <c r="BPH62" s="10"/>
      <c r="BPI62" s="10"/>
      <c r="BPJ62" s="10"/>
      <c r="BPK62" s="10"/>
      <c r="BPL62" s="10"/>
      <c r="BPM62" s="10"/>
      <c r="BPN62" s="10"/>
      <c r="BPO62" s="10"/>
      <c r="BPP62" s="10"/>
      <c r="BPQ62" s="10"/>
      <c r="BPR62" s="10"/>
      <c r="BPS62" s="10"/>
      <c r="BPT62" s="10"/>
      <c r="BPU62" s="10"/>
      <c r="BPV62" s="10"/>
      <c r="BPW62" s="10"/>
      <c r="BPX62" s="10"/>
      <c r="BPY62" s="10"/>
      <c r="BPZ62" s="10"/>
      <c r="BQA62" s="10"/>
      <c r="BQB62" s="10"/>
      <c r="BQC62" s="10"/>
      <c r="BQD62" s="10"/>
      <c r="BQE62" s="10"/>
      <c r="BQF62" s="10"/>
      <c r="BQG62" s="10"/>
      <c r="BQH62" s="10"/>
      <c r="BQI62" s="10"/>
      <c r="BQJ62" s="10"/>
      <c r="BQK62" s="10"/>
      <c r="BQL62" s="10"/>
      <c r="BQM62" s="10"/>
      <c r="BQN62" s="10"/>
      <c r="BQO62" s="10"/>
      <c r="BQP62" s="10"/>
      <c r="BQQ62" s="10"/>
      <c r="BQR62" s="10"/>
      <c r="BQS62" s="10"/>
      <c r="BQT62" s="10"/>
      <c r="BQU62" s="10"/>
      <c r="BQV62" s="10"/>
      <c r="BQW62" s="10"/>
      <c r="BQX62" s="10"/>
      <c r="BQY62" s="10"/>
      <c r="BQZ62" s="10"/>
      <c r="BRA62" s="10"/>
      <c r="BRB62" s="10"/>
      <c r="BRC62" s="10"/>
      <c r="BRD62" s="10"/>
      <c r="BRE62" s="10"/>
      <c r="BRF62" s="10"/>
      <c r="BRG62" s="10"/>
      <c r="BRH62" s="10"/>
      <c r="BRI62" s="10"/>
      <c r="BRJ62" s="10"/>
      <c r="BRK62" s="10"/>
      <c r="BRL62" s="10"/>
      <c r="BRM62" s="10"/>
      <c r="BRN62" s="10"/>
      <c r="BRO62" s="10"/>
      <c r="BRP62" s="10"/>
      <c r="BRQ62" s="10"/>
      <c r="BRR62" s="10"/>
      <c r="BRS62" s="10"/>
      <c r="BRT62" s="10"/>
      <c r="BRU62" s="10"/>
      <c r="BRV62" s="10"/>
      <c r="BRW62" s="10"/>
      <c r="BRX62" s="10"/>
      <c r="BRY62" s="10"/>
      <c r="BRZ62" s="10"/>
      <c r="BSA62" s="10"/>
      <c r="BSB62" s="10"/>
      <c r="BSC62" s="10"/>
      <c r="BSD62" s="10"/>
      <c r="BSE62" s="10"/>
      <c r="BSF62" s="10"/>
      <c r="BSG62" s="10"/>
      <c r="BSH62" s="10"/>
      <c r="BSI62" s="10"/>
      <c r="BSJ62" s="10"/>
      <c r="BSK62" s="10"/>
      <c r="BSL62" s="10"/>
      <c r="BSM62" s="10"/>
      <c r="BSN62" s="10"/>
      <c r="BSO62" s="10"/>
      <c r="BSP62" s="10"/>
      <c r="BSQ62" s="10"/>
      <c r="BSR62" s="10"/>
      <c r="BSS62" s="10"/>
      <c r="BST62" s="10"/>
      <c r="BSU62" s="10"/>
      <c r="BSV62" s="10"/>
      <c r="BSW62" s="10"/>
      <c r="BSX62" s="10"/>
      <c r="BSY62" s="10"/>
      <c r="BSZ62" s="10"/>
      <c r="BTA62" s="10"/>
      <c r="BTB62" s="10"/>
      <c r="BTC62" s="10"/>
      <c r="BTD62" s="10"/>
      <c r="BTE62" s="10"/>
      <c r="BTF62" s="10"/>
      <c r="BTG62" s="10"/>
      <c r="BTH62" s="10"/>
      <c r="BTI62" s="10"/>
      <c r="BTJ62" s="10"/>
      <c r="BTK62" s="10"/>
      <c r="BTL62" s="10"/>
      <c r="BTM62" s="10"/>
      <c r="BTN62" s="10"/>
      <c r="BTO62" s="10"/>
      <c r="BTP62" s="10"/>
      <c r="BTQ62" s="10"/>
      <c r="BTR62" s="10"/>
      <c r="BTS62" s="10"/>
      <c r="BTT62" s="10"/>
      <c r="BTU62" s="10"/>
      <c r="BTV62" s="10"/>
      <c r="BTW62" s="10"/>
      <c r="BTX62" s="10"/>
      <c r="BTY62" s="10"/>
      <c r="BTZ62" s="10"/>
      <c r="BUA62" s="10"/>
      <c r="BUB62" s="10"/>
      <c r="BUC62" s="10"/>
      <c r="BUD62" s="10"/>
      <c r="BUE62" s="10"/>
      <c r="BUF62" s="10"/>
      <c r="BUG62" s="10"/>
      <c r="BUH62" s="10"/>
      <c r="BUI62" s="10"/>
      <c r="BUJ62" s="10"/>
      <c r="BUK62" s="10"/>
      <c r="BUL62" s="10"/>
      <c r="BUM62" s="10"/>
      <c r="BUN62" s="10"/>
      <c r="BUO62" s="10"/>
      <c r="BUP62" s="10"/>
      <c r="BUQ62" s="10"/>
      <c r="BUR62" s="10"/>
      <c r="BUS62" s="10"/>
      <c r="BUT62" s="10"/>
      <c r="BUU62" s="10"/>
      <c r="BUV62" s="10"/>
      <c r="BUW62" s="10"/>
      <c r="BUX62" s="10"/>
      <c r="BUY62" s="10"/>
      <c r="BUZ62" s="10"/>
      <c r="BVA62" s="10"/>
      <c r="BVB62" s="10"/>
      <c r="BVC62" s="10"/>
      <c r="BVD62" s="10"/>
      <c r="BVE62" s="10"/>
      <c r="BVF62" s="10"/>
      <c r="BVG62" s="10"/>
      <c r="BVH62" s="10"/>
      <c r="BVI62" s="10"/>
      <c r="BVJ62" s="10"/>
      <c r="BVK62" s="10"/>
      <c r="BVL62" s="10"/>
      <c r="BVM62" s="10"/>
      <c r="BVN62" s="10"/>
      <c r="BVO62" s="10"/>
      <c r="BVP62" s="10"/>
      <c r="BVQ62" s="10"/>
      <c r="BVR62" s="10"/>
      <c r="BVS62" s="10"/>
      <c r="BVT62" s="10"/>
      <c r="BVU62" s="10"/>
      <c r="BVV62" s="10"/>
      <c r="BVW62" s="10"/>
      <c r="BVX62" s="10"/>
      <c r="BVY62" s="10"/>
      <c r="BVZ62" s="10"/>
      <c r="BWA62" s="10"/>
      <c r="BWB62" s="10"/>
      <c r="BWC62" s="10"/>
      <c r="BWD62" s="10"/>
      <c r="BWE62" s="10"/>
      <c r="BWF62" s="10"/>
      <c r="BWG62" s="10"/>
      <c r="BWH62" s="10"/>
      <c r="BWI62" s="10"/>
      <c r="BWJ62" s="10"/>
      <c r="BWK62" s="10"/>
      <c r="BWL62" s="10"/>
      <c r="BWM62" s="10"/>
      <c r="BWN62" s="10"/>
      <c r="BWO62" s="10"/>
      <c r="BWP62" s="10"/>
      <c r="BWQ62" s="10"/>
      <c r="BWR62" s="10"/>
      <c r="BWS62" s="10"/>
      <c r="BWT62" s="10"/>
      <c r="BWU62" s="10"/>
      <c r="BWV62" s="10"/>
      <c r="BWW62" s="10"/>
      <c r="BWX62" s="10"/>
      <c r="BWY62" s="10"/>
      <c r="BWZ62" s="10"/>
      <c r="BXA62" s="10"/>
      <c r="BXB62" s="10"/>
      <c r="BXC62" s="10"/>
      <c r="BXD62" s="10"/>
      <c r="BXE62" s="10"/>
      <c r="BXF62" s="10"/>
      <c r="BXG62" s="10"/>
      <c r="BXH62" s="10"/>
      <c r="BXI62" s="10"/>
      <c r="BXJ62" s="10"/>
      <c r="BXK62" s="10"/>
      <c r="BXL62" s="10"/>
      <c r="BXM62" s="10"/>
      <c r="BXN62" s="10"/>
      <c r="BXO62" s="10"/>
      <c r="BXP62" s="10"/>
      <c r="BXQ62" s="10"/>
      <c r="BXR62" s="10"/>
      <c r="BXS62" s="10"/>
      <c r="BXT62" s="10"/>
      <c r="BXU62" s="10"/>
      <c r="BXV62" s="10"/>
      <c r="BXW62" s="10"/>
      <c r="BXX62" s="10"/>
      <c r="BXY62" s="10"/>
      <c r="BXZ62" s="10"/>
      <c r="BYA62" s="10"/>
      <c r="BYB62" s="10"/>
      <c r="BYC62" s="10"/>
      <c r="BYD62" s="10"/>
      <c r="BYE62" s="10"/>
      <c r="BYF62" s="10"/>
      <c r="BYG62" s="10"/>
      <c r="BYH62" s="10"/>
      <c r="BYI62" s="10"/>
      <c r="BYJ62" s="10"/>
      <c r="BYK62" s="10"/>
      <c r="BYL62" s="10"/>
      <c r="BYM62" s="10"/>
      <c r="BYN62" s="10"/>
      <c r="BYO62" s="10"/>
      <c r="BYP62" s="10"/>
      <c r="BYQ62" s="10"/>
      <c r="BYR62" s="10"/>
      <c r="BYS62" s="10"/>
      <c r="BYT62" s="10"/>
      <c r="BYU62" s="10"/>
      <c r="BYV62" s="10"/>
      <c r="BYW62" s="10"/>
      <c r="BYX62" s="10"/>
      <c r="BYY62" s="10"/>
      <c r="BYZ62" s="10"/>
      <c r="BZA62" s="10"/>
      <c r="BZB62" s="10"/>
      <c r="BZC62" s="10"/>
      <c r="BZD62" s="10"/>
      <c r="BZE62" s="10"/>
      <c r="BZF62" s="10"/>
      <c r="BZG62" s="10"/>
      <c r="BZH62" s="10"/>
      <c r="BZI62" s="10"/>
      <c r="BZJ62" s="10"/>
      <c r="BZK62" s="10"/>
      <c r="BZL62" s="10"/>
      <c r="BZM62" s="10"/>
      <c r="BZN62" s="10"/>
      <c r="BZO62" s="10"/>
      <c r="BZP62" s="10"/>
      <c r="BZQ62" s="10"/>
      <c r="BZR62" s="10"/>
      <c r="BZS62" s="10"/>
      <c r="BZT62" s="10"/>
      <c r="BZU62" s="10"/>
      <c r="BZV62" s="10"/>
      <c r="BZW62" s="10"/>
      <c r="BZX62" s="10"/>
      <c r="BZY62" s="10"/>
      <c r="BZZ62" s="10"/>
      <c r="CAA62" s="10"/>
      <c r="CAB62" s="10"/>
      <c r="CAC62" s="10"/>
      <c r="CAD62" s="10"/>
      <c r="CAE62" s="10"/>
      <c r="CAF62" s="10"/>
      <c r="CAG62" s="10"/>
      <c r="CAH62" s="10"/>
      <c r="CAI62" s="10"/>
      <c r="CAJ62" s="10"/>
      <c r="CAK62" s="10"/>
      <c r="CAL62" s="10"/>
      <c r="CAM62" s="10"/>
      <c r="CAN62" s="10"/>
      <c r="CAO62" s="10"/>
      <c r="CAP62" s="10"/>
      <c r="CAQ62" s="10"/>
      <c r="CAR62" s="10"/>
      <c r="CAS62" s="10"/>
      <c r="CAT62" s="10"/>
      <c r="CAU62" s="10"/>
      <c r="CAV62" s="10"/>
      <c r="CAW62" s="10"/>
      <c r="CAX62" s="10"/>
      <c r="CAY62" s="10"/>
      <c r="CAZ62" s="10"/>
      <c r="CBA62" s="10"/>
      <c r="CBB62" s="10"/>
      <c r="CBC62" s="10"/>
      <c r="CBD62" s="10"/>
      <c r="CBE62" s="10"/>
      <c r="CBF62" s="10"/>
      <c r="CBG62" s="10"/>
      <c r="CBH62" s="10"/>
      <c r="CBI62" s="10"/>
      <c r="CBJ62" s="10"/>
      <c r="CBK62" s="10"/>
      <c r="CBL62" s="10"/>
      <c r="CBM62" s="10"/>
      <c r="CBN62" s="10"/>
      <c r="CBO62" s="10"/>
      <c r="CBP62" s="10"/>
      <c r="CBQ62" s="10"/>
      <c r="CBR62" s="10"/>
      <c r="CBS62" s="10"/>
      <c r="CBT62" s="10"/>
      <c r="CBU62" s="10"/>
      <c r="CBV62" s="10"/>
      <c r="CBW62" s="10"/>
      <c r="CBX62" s="10"/>
      <c r="CBY62" s="10"/>
      <c r="CBZ62" s="10"/>
      <c r="CCA62" s="10"/>
      <c r="CCB62" s="10"/>
      <c r="CCC62" s="10"/>
      <c r="CCD62" s="10"/>
      <c r="CCE62" s="10"/>
      <c r="CCF62" s="10"/>
      <c r="CCG62" s="10"/>
      <c r="CCH62" s="10"/>
      <c r="CCI62" s="10"/>
      <c r="CCJ62" s="10"/>
      <c r="CCK62" s="10"/>
      <c r="CCL62" s="10"/>
      <c r="CCM62" s="10"/>
      <c r="CCN62" s="10"/>
      <c r="CCO62" s="10"/>
      <c r="CCP62" s="10"/>
      <c r="CCQ62" s="10"/>
      <c r="CCR62" s="10"/>
      <c r="CCS62" s="10"/>
      <c r="CCT62" s="10"/>
      <c r="CCU62" s="10"/>
      <c r="CCV62" s="10"/>
      <c r="CCW62" s="10"/>
      <c r="CCX62" s="10"/>
      <c r="CCY62" s="10"/>
      <c r="CCZ62" s="10"/>
      <c r="CDA62" s="10"/>
      <c r="CDB62" s="10"/>
      <c r="CDC62" s="10"/>
      <c r="CDD62" s="10"/>
      <c r="CDE62" s="10"/>
      <c r="CDF62" s="10"/>
      <c r="CDG62" s="10"/>
      <c r="CDH62" s="10"/>
      <c r="CDI62" s="10"/>
      <c r="CDJ62" s="10"/>
      <c r="CDK62" s="10"/>
      <c r="CDL62" s="10"/>
      <c r="CDM62" s="10"/>
      <c r="CDN62" s="10"/>
      <c r="CDO62" s="10"/>
      <c r="CDP62" s="10"/>
      <c r="CDQ62" s="10"/>
      <c r="CDR62" s="10"/>
      <c r="CDS62" s="10"/>
      <c r="CDT62" s="10"/>
      <c r="CDU62" s="10"/>
      <c r="CDV62" s="10"/>
      <c r="CDW62" s="10"/>
      <c r="CDX62" s="10"/>
      <c r="CDY62" s="10"/>
      <c r="CDZ62" s="10"/>
      <c r="CEA62" s="10"/>
      <c r="CEB62" s="10"/>
      <c r="CEC62" s="10"/>
      <c r="CED62" s="10"/>
      <c r="CEE62" s="10"/>
      <c r="CEF62" s="10"/>
      <c r="CEG62" s="10"/>
      <c r="CEH62" s="10"/>
      <c r="CEI62" s="10"/>
      <c r="CEJ62" s="10"/>
      <c r="CEK62" s="10"/>
      <c r="CEL62" s="10"/>
      <c r="CEM62" s="10"/>
      <c r="CEN62" s="10"/>
      <c r="CEO62" s="10"/>
      <c r="CEP62" s="10"/>
      <c r="CEQ62" s="10"/>
      <c r="CER62" s="10"/>
      <c r="CES62" s="10"/>
      <c r="CET62" s="10"/>
      <c r="CEU62" s="10"/>
      <c r="CEV62" s="10"/>
      <c r="CEW62" s="10"/>
      <c r="CEX62" s="10"/>
      <c r="CEY62" s="10"/>
      <c r="CEZ62" s="10"/>
      <c r="CFA62" s="10"/>
      <c r="CFB62" s="10"/>
      <c r="CFC62" s="10"/>
      <c r="CFD62" s="10"/>
      <c r="CFE62" s="10"/>
      <c r="CFF62" s="10"/>
      <c r="CFG62" s="10"/>
      <c r="CFH62" s="10"/>
      <c r="CFI62" s="10"/>
      <c r="CFJ62" s="10"/>
      <c r="CFK62" s="10"/>
      <c r="CFL62" s="10"/>
      <c r="CFM62" s="10"/>
      <c r="CFN62" s="10"/>
      <c r="CFO62" s="10"/>
      <c r="CFP62" s="10"/>
      <c r="CFQ62" s="10"/>
      <c r="CFR62" s="10"/>
      <c r="CFS62" s="10"/>
      <c r="CFT62" s="10"/>
      <c r="CFU62" s="10"/>
      <c r="CFV62" s="10"/>
      <c r="CFW62" s="10"/>
      <c r="CFX62" s="10"/>
      <c r="CFY62" s="10"/>
      <c r="CFZ62" s="10"/>
      <c r="CGA62" s="10"/>
      <c r="CGB62" s="10"/>
      <c r="CGC62" s="10"/>
      <c r="CGD62" s="10"/>
      <c r="CGE62" s="10"/>
      <c r="CGF62" s="10"/>
      <c r="CGG62" s="10"/>
      <c r="CGH62" s="10"/>
      <c r="CGI62" s="10"/>
      <c r="CGJ62" s="10"/>
      <c r="CGK62" s="10"/>
      <c r="CGL62" s="10"/>
      <c r="CGM62" s="10"/>
      <c r="CGN62" s="10"/>
      <c r="CGO62" s="10"/>
      <c r="CGP62" s="10"/>
      <c r="CGQ62" s="10"/>
      <c r="CGR62" s="10"/>
      <c r="CGS62" s="10"/>
      <c r="CGT62" s="10"/>
      <c r="CGU62" s="10"/>
      <c r="CGV62" s="10"/>
      <c r="CGW62" s="10"/>
      <c r="CGX62" s="10"/>
      <c r="CGY62" s="10"/>
      <c r="CGZ62" s="10"/>
      <c r="CHA62" s="10"/>
      <c r="CHB62" s="10"/>
      <c r="CHC62" s="10"/>
      <c r="CHD62" s="10"/>
      <c r="CHE62" s="10"/>
      <c r="CHF62" s="10"/>
      <c r="CHG62" s="10"/>
      <c r="CHH62" s="10"/>
      <c r="CHI62" s="10"/>
      <c r="CHJ62" s="10"/>
      <c r="CHK62" s="10"/>
      <c r="CHL62" s="10"/>
      <c r="CHM62" s="10"/>
      <c r="CHN62" s="10"/>
      <c r="CHO62" s="10"/>
      <c r="CHP62" s="10"/>
      <c r="CHQ62" s="10"/>
      <c r="CHR62" s="10"/>
      <c r="CHS62" s="10"/>
      <c r="CHT62" s="10"/>
      <c r="CHU62" s="10"/>
      <c r="CHV62" s="10"/>
      <c r="CHW62" s="10"/>
      <c r="CHX62" s="10"/>
      <c r="CHY62" s="10"/>
      <c r="CHZ62" s="10"/>
      <c r="CIA62" s="10"/>
      <c r="CIB62" s="10"/>
      <c r="CIC62" s="10"/>
      <c r="CID62" s="10"/>
      <c r="CIE62" s="10"/>
      <c r="CIF62" s="10"/>
      <c r="CIG62" s="10"/>
      <c r="CIH62" s="10"/>
      <c r="CII62" s="10"/>
      <c r="CIJ62" s="10"/>
      <c r="CIK62" s="10"/>
      <c r="CIL62" s="10"/>
      <c r="CIM62" s="10"/>
      <c r="CIN62" s="10"/>
      <c r="CIO62" s="10"/>
      <c r="CIP62" s="10"/>
      <c r="CIQ62" s="10"/>
      <c r="CIR62" s="10"/>
      <c r="CIS62" s="10"/>
      <c r="CIT62" s="10"/>
      <c r="CIU62" s="10"/>
      <c r="CIV62" s="10"/>
      <c r="CIW62" s="10"/>
      <c r="CIX62" s="10"/>
      <c r="CIY62" s="10"/>
      <c r="CIZ62" s="10"/>
      <c r="CJA62" s="10"/>
      <c r="CJB62" s="10"/>
      <c r="CJC62" s="10"/>
      <c r="CJD62" s="10"/>
      <c r="CJE62" s="10"/>
      <c r="CJF62" s="10"/>
      <c r="CJG62" s="10"/>
      <c r="CJH62" s="10"/>
      <c r="CJI62" s="10"/>
      <c r="CJJ62" s="10"/>
      <c r="CJK62" s="10"/>
      <c r="CJL62" s="10"/>
      <c r="CJM62" s="10"/>
      <c r="CJN62" s="10"/>
      <c r="CJO62" s="10"/>
      <c r="CJP62" s="10"/>
      <c r="CJQ62" s="10"/>
      <c r="CJR62" s="10"/>
      <c r="CJS62" s="10"/>
      <c r="CJT62" s="10"/>
      <c r="CJU62" s="10"/>
      <c r="CJV62" s="10"/>
      <c r="CJW62" s="10"/>
      <c r="CJX62" s="10"/>
      <c r="CJY62" s="10"/>
      <c r="CJZ62" s="10"/>
      <c r="CKA62" s="10"/>
      <c r="CKB62" s="10"/>
      <c r="CKC62" s="10"/>
      <c r="CKD62" s="10"/>
      <c r="CKE62" s="10"/>
      <c r="CKF62" s="10"/>
      <c r="CKG62" s="10"/>
      <c r="CKH62" s="10"/>
      <c r="CKI62" s="10"/>
      <c r="CKJ62" s="10"/>
      <c r="CKK62" s="10"/>
      <c r="CKL62" s="10"/>
      <c r="CKM62" s="10"/>
      <c r="CKN62" s="10"/>
      <c r="CKO62" s="10"/>
      <c r="CKP62" s="10"/>
      <c r="CKQ62" s="10"/>
      <c r="CKR62" s="10"/>
      <c r="CKS62" s="10"/>
      <c r="CKT62" s="10"/>
      <c r="CKU62" s="10"/>
      <c r="CKV62" s="10"/>
      <c r="CKW62" s="10"/>
      <c r="CKX62" s="10"/>
      <c r="CKY62" s="10"/>
      <c r="CKZ62" s="10"/>
      <c r="CLA62" s="10"/>
      <c r="CLB62" s="10"/>
      <c r="CLC62" s="10"/>
      <c r="CLD62" s="10"/>
      <c r="CLE62" s="10"/>
      <c r="CLF62" s="10"/>
      <c r="CLG62" s="10"/>
      <c r="CLH62" s="10"/>
      <c r="CLI62" s="10"/>
      <c r="CLJ62" s="10"/>
      <c r="CLK62" s="10"/>
      <c r="CLL62" s="10"/>
      <c r="CLM62" s="10"/>
      <c r="CLN62" s="10"/>
      <c r="CLO62" s="10"/>
      <c r="CLP62" s="10"/>
      <c r="CLQ62" s="10"/>
      <c r="CLR62" s="10"/>
      <c r="CLS62" s="10"/>
      <c r="CLT62" s="10"/>
      <c r="CLU62" s="10"/>
      <c r="CLV62" s="10"/>
      <c r="CLW62" s="10"/>
      <c r="CLX62" s="10"/>
      <c r="CLY62" s="10"/>
      <c r="CLZ62" s="10"/>
      <c r="CMA62" s="10"/>
      <c r="CMB62" s="10"/>
      <c r="CMC62" s="10"/>
      <c r="CMD62" s="10"/>
      <c r="CME62" s="10"/>
      <c r="CMF62" s="10"/>
      <c r="CMG62" s="10"/>
      <c r="CMH62" s="10"/>
      <c r="CMI62" s="10"/>
      <c r="CMJ62" s="10"/>
      <c r="CMK62" s="10"/>
      <c r="CML62" s="10"/>
      <c r="CMM62" s="10"/>
      <c r="CMN62" s="10"/>
      <c r="CMO62" s="10"/>
      <c r="CMP62" s="10"/>
      <c r="CMQ62" s="10"/>
      <c r="CMR62" s="10"/>
      <c r="CMS62" s="10"/>
      <c r="CMT62" s="10"/>
      <c r="CMU62" s="10"/>
      <c r="CMV62" s="10"/>
      <c r="CMW62" s="10"/>
      <c r="CMX62" s="10"/>
      <c r="CMY62" s="10"/>
      <c r="CMZ62" s="10"/>
      <c r="CNA62" s="10"/>
      <c r="CNB62" s="10"/>
      <c r="CNC62" s="10"/>
      <c r="CND62" s="10"/>
      <c r="CNE62" s="10"/>
      <c r="CNF62" s="10"/>
      <c r="CNG62" s="10"/>
      <c r="CNH62" s="10"/>
      <c r="CNI62" s="10"/>
      <c r="CNJ62" s="10"/>
      <c r="CNK62" s="10"/>
      <c r="CNL62" s="10"/>
      <c r="CNM62" s="10"/>
      <c r="CNN62" s="10"/>
      <c r="CNO62" s="10"/>
      <c r="CNP62" s="10"/>
      <c r="CNQ62" s="10"/>
      <c r="CNR62" s="10"/>
      <c r="CNS62" s="10"/>
      <c r="CNT62" s="10"/>
      <c r="CNU62" s="10"/>
      <c r="CNV62" s="10"/>
      <c r="CNW62" s="10"/>
      <c r="CNX62" s="10"/>
      <c r="CNY62" s="10"/>
      <c r="CNZ62" s="10"/>
      <c r="COA62" s="10"/>
      <c r="COB62" s="10"/>
      <c r="COC62" s="10"/>
      <c r="COD62" s="10"/>
      <c r="COE62" s="10"/>
      <c r="COF62" s="10"/>
      <c r="COG62" s="10"/>
      <c r="COH62" s="10"/>
      <c r="COI62" s="10"/>
      <c r="COJ62" s="10"/>
      <c r="COK62" s="10"/>
      <c r="COL62" s="10"/>
      <c r="COM62" s="10"/>
      <c r="CON62" s="10"/>
      <c r="COO62" s="10"/>
      <c r="COP62" s="10"/>
      <c r="COQ62" s="10"/>
      <c r="COR62" s="10"/>
      <c r="COS62" s="10"/>
      <c r="COT62" s="10"/>
      <c r="COU62" s="10"/>
      <c r="COV62" s="10"/>
      <c r="COW62" s="10"/>
      <c r="COX62" s="10"/>
      <c r="COY62" s="10"/>
      <c r="COZ62" s="10"/>
      <c r="CPA62" s="10"/>
      <c r="CPB62" s="10"/>
      <c r="CPC62" s="10"/>
      <c r="CPD62" s="10"/>
      <c r="CPE62" s="10"/>
      <c r="CPF62" s="10"/>
      <c r="CPG62" s="10"/>
      <c r="CPH62" s="10"/>
      <c r="CPI62" s="10"/>
      <c r="CPJ62" s="10"/>
      <c r="CPK62" s="10"/>
      <c r="CPL62" s="10"/>
      <c r="CPM62" s="10"/>
      <c r="CPN62" s="10"/>
      <c r="CPO62" s="10"/>
      <c r="CPP62" s="10"/>
      <c r="CPQ62" s="10"/>
      <c r="CPR62" s="10"/>
      <c r="CPS62" s="10"/>
      <c r="CPT62" s="10"/>
      <c r="CPU62" s="10"/>
      <c r="CPV62" s="10"/>
      <c r="CPW62" s="10"/>
      <c r="CPX62" s="10"/>
      <c r="CPY62" s="10"/>
      <c r="CPZ62" s="10"/>
      <c r="CQA62" s="10"/>
      <c r="CQB62" s="10"/>
      <c r="CQC62" s="10"/>
      <c r="CQD62" s="10"/>
      <c r="CQE62" s="10"/>
      <c r="CQF62" s="10"/>
      <c r="CQG62" s="10"/>
      <c r="CQH62" s="10"/>
      <c r="CQI62" s="10"/>
      <c r="CQJ62" s="10"/>
      <c r="CQK62" s="10"/>
      <c r="CQL62" s="10"/>
      <c r="CQM62" s="10"/>
      <c r="CQN62" s="10"/>
      <c r="CQO62" s="10"/>
      <c r="CQP62" s="10"/>
      <c r="CQQ62" s="10"/>
      <c r="CQR62" s="10"/>
      <c r="CQS62" s="10"/>
      <c r="CQT62" s="10"/>
      <c r="CQU62" s="10"/>
      <c r="CQV62" s="10"/>
      <c r="CQW62" s="10"/>
      <c r="CQX62" s="10"/>
      <c r="CQY62" s="10"/>
      <c r="CQZ62" s="10"/>
      <c r="CRA62" s="10"/>
      <c r="CRB62" s="10"/>
      <c r="CRC62" s="10"/>
      <c r="CRD62" s="10"/>
      <c r="CRE62" s="10"/>
      <c r="CRF62" s="10"/>
      <c r="CRG62" s="10"/>
      <c r="CRH62" s="10"/>
      <c r="CRI62" s="10"/>
      <c r="CRJ62" s="10"/>
      <c r="CRK62" s="10"/>
      <c r="CRL62" s="10"/>
      <c r="CRM62" s="10"/>
      <c r="CRN62" s="10"/>
      <c r="CRO62" s="10"/>
      <c r="CRP62" s="10"/>
      <c r="CRQ62" s="10"/>
      <c r="CRR62" s="10"/>
      <c r="CRS62" s="10"/>
      <c r="CRT62" s="10"/>
      <c r="CRU62" s="10"/>
      <c r="CRV62" s="10"/>
      <c r="CRW62" s="10"/>
      <c r="CRX62" s="10"/>
      <c r="CRY62" s="10"/>
      <c r="CRZ62" s="10"/>
      <c r="CSA62" s="10"/>
      <c r="CSB62" s="10"/>
      <c r="CSC62" s="10"/>
      <c r="CSD62" s="10"/>
      <c r="CSE62" s="10"/>
      <c r="CSF62" s="10"/>
      <c r="CSG62" s="10"/>
      <c r="CSH62" s="10"/>
      <c r="CSI62" s="10"/>
      <c r="CSJ62" s="10"/>
      <c r="CSK62" s="10"/>
      <c r="CSL62" s="10"/>
      <c r="CSM62" s="10"/>
      <c r="CSN62" s="10"/>
      <c r="CSO62" s="10"/>
      <c r="CSP62" s="10"/>
      <c r="CSQ62" s="10"/>
      <c r="CSR62" s="10"/>
      <c r="CSS62" s="10"/>
      <c r="CST62" s="10"/>
      <c r="CSU62" s="10"/>
      <c r="CSV62" s="10"/>
      <c r="CSW62" s="10"/>
      <c r="CSX62" s="10"/>
      <c r="CSY62" s="10"/>
      <c r="CSZ62" s="10"/>
      <c r="CTA62" s="10"/>
      <c r="CTB62" s="10"/>
      <c r="CTC62" s="10"/>
      <c r="CTD62" s="10"/>
      <c r="CTE62" s="10"/>
      <c r="CTF62" s="10"/>
      <c r="CTG62" s="10"/>
      <c r="CTH62" s="10"/>
      <c r="CTI62" s="10"/>
      <c r="CTJ62" s="10"/>
      <c r="CTK62" s="10"/>
      <c r="CTL62" s="10"/>
      <c r="CTM62" s="10"/>
      <c r="CTN62" s="10"/>
      <c r="CTO62" s="10"/>
      <c r="CTP62" s="10"/>
      <c r="CTQ62" s="10"/>
      <c r="CTR62" s="10"/>
      <c r="CTS62" s="10"/>
      <c r="CTT62" s="10"/>
      <c r="CTU62" s="10"/>
      <c r="CTV62" s="10"/>
      <c r="CTW62" s="10"/>
      <c r="CTX62" s="10"/>
      <c r="CTY62" s="10"/>
      <c r="CTZ62" s="10"/>
      <c r="CUA62" s="10"/>
      <c r="CUB62" s="10"/>
      <c r="CUC62" s="10"/>
      <c r="CUD62" s="10"/>
      <c r="CUE62" s="10"/>
      <c r="CUF62" s="10"/>
      <c r="CUG62" s="10"/>
      <c r="CUH62" s="10"/>
      <c r="CUI62" s="10"/>
      <c r="CUJ62" s="10"/>
      <c r="CUK62" s="10"/>
      <c r="CUL62" s="10"/>
      <c r="CUM62" s="10"/>
      <c r="CUN62" s="10"/>
      <c r="CUO62" s="10"/>
      <c r="CUP62" s="10"/>
      <c r="CUQ62" s="10"/>
      <c r="CUR62" s="10"/>
      <c r="CUS62" s="10"/>
      <c r="CUT62" s="10"/>
      <c r="CUU62" s="10"/>
      <c r="CUV62" s="10"/>
      <c r="CUW62" s="10"/>
      <c r="CUX62" s="10"/>
      <c r="CUY62" s="10"/>
      <c r="CUZ62" s="10"/>
      <c r="CVA62" s="10"/>
      <c r="CVB62" s="10"/>
      <c r="CVC62" s="10"/>
      <c r="CVD62" s="10"/>
      <c r="CVE62" s="10"/>
      <c r="CVF62" s="10"/>
      <c r="CVG62" s="10"/>
      <c r="CVH62" s="10"/>
      <c r="CVI62" s="10"/>
      <c r="CVJ62" s="10"/>
      <c r="CVK62" s="10"/>
      <c r="CVL62" s="10"/>
      <c r="CVM62" s="10"/>
      <c r="CVN62" s="10"/>
      <c r="CVO62" s="10"/>
      <c r="CVP62" s="10"/>
      <c r="CVQ62" s="10"/>
      <c r="CVR62" s="10"/>
      <c r="CVS62" s="10"/>
      <c r="CVT62" s="10"/>
      <c r="CVU62" s="10"/>
      <c r="CVV62" s="10"/>
      <c r="CVW62" s="10"/>
      <c r="CVX62" s="10"/>
      <c r="CVY62" s="10"/>
      <c r="CVZ62" s="10"/>
      <c r="CWA62" s="10"/>
      <c r="CWB62" s="10"/>
      <c r="CWC62" s="10"/>
      <c r="CWD62" s="10"/>
      <c r="CWE62" s="10"/>
      <c r="CWF62" s="10"/>
      <c r="CWG62" s="10"/>
      <c r="CWH62" s="10"/>
      <c r="CWI62" s="10"/>
      <c r="CWJ62" s="10"/>
      <c r="CWK62" s="10"/>
      <c r="CWL62" s="10"/>
      <c r="CWM62" s="10"/>
      <c r="CWN62" s="10"/>
      <c r="CWO62" s="10"/>
      <c r="CWP62" s="10"/>
      <c r="CWQ62" s="10"/>
      <c r="CWR62" s="10"/>
      <c r="CWS62" s="10"/>
      <c r="CWT62" s="10"/>
      <c r="CWU62" s="10"/>
      <c r="CWV62" s="10"/>
      <c r="CWW62" s="10"/>
      <c r="CWX62" s="10"/>
      <c r="CWY62" s="10"/>
      <c r="CWZ62" s="10"/>
      <c r="CXA62" s="10"/>
      <c r="CXB62" s="10"/>
      <c r="CXC62" s="10"/>
      <c r="CXD62" s="10"/>
      <c r="CXE62" s="10"/>
      <c r="CXF62" s="10"/>
      <c r="CXG62" s="10"/>
      <c r="CXH62" s="10"/>
      <c r="CXI62" s="10"/>
      <c r="CXJ62" s="10"/>
      <c r="CXK62" s="10"/>
      <c r="CXL62" s="10"/>
      <c r="CXM62" s="10"/>
      <c r="CXN62" s="10"/>
      <c r="CXO62" s="10"/>
      <c r="CXP62" s="10"/>
      <c r="CXQ62" s="10"/>
      <c r="CXR62" s="10"/>
      <c r="CXS62" s="10"/>
      <c r="CXT62" s="10"/>
      <c r="CXU62" s="10"/>
      <c r="CXV62" s="10"/>
      <c r="CXW62" s="10"/>
      <c r="CXX62" s="10"/>
      <c r="CXY62" s="10"/>
      <c r="CXZ62" s="10"/>
      <c r="CYA62" s="10"/>
      <c r="CYB62" s="10"/>
      <c r="CYC62" s="10"/>
      <c r="CYD62" s="10"/>
      <c r="CYE62" s="10"/>
      <c r="CYF62" s="10"/>
      <c r="CYG62" s="10"/>
      <c r="CYH62" s="10"/>
      <c r="CYI62" s="10"/>
      <c r="CYJ62" s="10"/>
      <c r="CYK62" s="10"/>
      <c r="CYL62" s="10"/>
      <c r="CYM62" s="10"/>
      <c r="CYN62" s="10"/>
      <c r="CYO62" s="10"/>
      <c r="CYP62" s="10"/>
      <c r="CYQ62" s="10"/>
      <c r="CYR62" s="10"/>
      <c r="CYS62" s="10"/>
      <c r="CYT62" s="10"/>
      <c r="CYU62" s="10"/>
      <c r="CYV62" s="10"/>
      <c r="CYW62" s="10"/>
      <c r="CYX62" s="10"/>
      <c r="CYY62" s="10"/>
      <c r="CYZ62" s="10"/>
      <c r="CZA62" s="10"/>
      <c r="CZB62" s="10"/>
      <c r="CZC62" s="10"/>
      <c r="CZD62" s="10"/>
      <c r="CZE62" s="10"/>
      <c r="CZF62" s="10"/>
      <c r="CZG62" s="10"/>
      <c r="CZH62" s="10"/>
      <c r="CZI62" s="10"/>
      <c r="CZJ62" s="10"/>
      <c r="CZK62" s="10"/>
      <c r="CZL62" s="10"/>
      <c r="CZM62" s="10"/>
      <c r="CZN62" s="10"/>
      <c r="CZO62" s="10"/>
      <c r="CZP62" s="10"/>
      <c r="CZQ62" s="10"/>
      <c r="CZR62" s="10"/>
      <c r="CZS62" s="10"/>
      <c r="CZT62" s="10"/>
      <c r="CZU62" s="10"/>
      <c r="CZV62" s="10"/>
      <c r="CZW62" s="10"/>
      <c r="CZX62" s="10"/>
      <c r="CZY62" s="10"/>
      <c r="CZZ62" s="10"/>
      <c r="DAA62" s="10"/>
      <c r="DAB62" s="10"/>
      <c r="DAC62" s="10"/>
      <c r="DAD62" s="10"/>
      <c r="DAE62" s="10"/>
      <c r="DAF62" s="10"/>
      <c r="DAG62" s="10"/>
      <c r="DAH62" s="10"/>
      <c r="DAI62" s="10"/>
      <c r="DAJ62" s="10"/>
      <c r="DAK62" s="10"/>
      <c r="DAL62" s="10"/>
      <c r="DAM62" s="10"/>
      <c r="DAN62" s="10"/>
      <c r="DAO62" s="10"/>
      <c r="DAP62" s="10"/>
      <c r="DAQ62" s="10"/>
      <c r="DAR62" s="10"/>
      <c r="DAS62" s="10"/>
      <c r="DAT62" s="10"/>
      <c r="DAU62" s="10"/>
      <c r="DAV62" s="10"/>
      <c r="DAW62" s="10"/>
      <c r="DAX62" s="10"/>
      <c r="DAY62" s="10"/>
      <c r="DAZ62" s="10"/>
      <c r="DBA62" s="10"/>
      <c r="DBB62" s="10"/>
      <c r="DBC62" s="10"/>
      <c r="DBD62" s="10"/>
      <c r="DBE62" s="10"/>
      <c r="DBF62" s="10"/>
      <c r="DBG62" s="10"/>
      <c r="DBH62" s="10"/>
      <c r="DBI62" s="10"/>
      <c r="DBJ62" s="10"/>
      <c r="DBK62" s="10"/>
      <c r="DBL62" s="10"/>
      <c r="DBM62" s="10"/>
      <c r="DBN62" s="10"/>
      <c r="DBO62" s="10"/>
      <c r="DBP62" s="10"/>
      <c r="DBQ62" s="10"/>
      <c r="DBR62" s="10"/>
      <c r="DBS62" s="10"/>
      <c r="DBT62" s="10"/>
      <c r="DBU62" s="10"/>
      <c r="DBV62" s="10"/>
      <c r="DBW62" s="10"/>
      <c r="DBX62" s="10"/>
      <c r="DBY62" s="10"/>
      <c r="DBZ62" s="10"/>
      <c r="DCA62" s="10"/>
      <c r="DCB62" s="10"/>
      <c r="DCC62" s="10"/>
      <c r="DCD62" s="10"/>
      <c r="DCE62" s="10"/>
      <c r="DCF62" s="10"/>
      <c r="DCG62" s="10"/>
      <c r="DCH62" s="10"/>
      <c r="DCI62" s="10"/>
      <c r="DCJ62" s="10"/>
      <c r="DCK62" s="10"/>
      <c r="DCL62" s="10"/>
      <c r="DCM62" s="10"/>
      <c r="DCN62" s="10"/>
      <c r="DCO62" s="10"/>
      <c r="DCP62" s="10"/>
      <c r="DCQ62" s="10"/>
      <c r="DCR62" s="10"/>
      <c r="DCS62" s="10"/>
      <c r="DCT62" s="10"/>
      <c r="DCU62" s="10"/>
      <c r="DCV62" s="10"/>
      <c r="DCW62" s="10"/>
      <c r="DCX62" s="10"/>
      <c r="DCY62" s="10"/>
      <c r="DCZ62" s="10"/>
      <c r="DDA62" s="10"/>
      <c r="DDB62" s="10"/>
      <c r="DDC62" s="10"/>
      <c r="DDD62" s="10"/>
      <c r="DDE62" s="10"/>
      <c r="DDF62" s="10"/>
      <c r="DDG62" s="10"/>
      <c r="DDH62" s="10"/>
      <c r="DDI62" s="10"/>
      <c r="DDJ62" s="10"/>
      <c r="DDK62" s="10"/>
      <c r="DDL62" s="10"/>
      <c r="DDM62" s="10"/>
      <c r="DDN62" s="10"/>
      <c r="DDO62" s="10"/>
      <c r="DDP62" s="10"/>
      <c r="DDQ62" s="10"/>
      <c r="DDR62" s="10"/>
      <c r="DDS62" s="10"/>
      <c r="DDT62" s="10"/>
      <c r="DDU62" s="10"/>
      <c r="DDV62" s="10"/>
      <c r="DDW62" s="10"/>
      <c r="DDX62" s="10"/>
      <c r="DDY62" s="10"/>
      <c r="DDZ62" s="10"/>
      <c r="DEA62" s="10"/>
      <c r="DEB62" s="10"/>
      <c r="DEC62" s="10"/>
      <c r="DED62" s="10"/>
      <c r="DEE62" s="10"/>
      <c r="DEF62" s="10"/>
      <c r="DEG62" s="10"/>
      <c r="DEH62" s="10"/>
      <c r="DEI62" s="10"/>
      <c r="DEJ62" s="10"/>
      <c r="DEK62" s="10"/>
      <c r="DEL62" s="10"/>
      <c r="DEM62" s="10"/>
      <c r="DEN62" s="10"/>
      <c r="DEO62" s="10"/>
      <c r="DEP62" s="10"/>
      <c r="DEQ62" s="10"/>
      <c r="DER62" s="10"/>
      <c r="DES62" s="10"/>
      <c r="DET62" s="10"/>
      <c r="DEU62" s="10"/>
      <c r="DEV62" s="10"/>
      <c r="DEW62" s="10"/>
      <c r="DEX62" s="10"/>
      <c r="DEY62" s="10"/>
      <c r="DEZ62" s="10"/>
      <c r="DFA62" s="10"/>
      <c r="DFB62" s="10"/>
      <c r="DFC62" s="10"/>
      <c r="DFD62" s="10"/>
      <c r="DFE62" s="10"/>
      <c r="DFF62" s="10"/>
      <c r="DFG62" s="10"/>
      <c r="DFH62" s="10"/>
      <c r="DFI62" s="10"/>
      <c r="DFJ62" s="10"/>
      <c r="DFK62" s="10"/>
      <c r="DFL62" s="10"/>
      <c r="DFM62" s="10"/>
      <c r="DFN62" s="10"/>
      <c r="DFO62" s="10"/>
      <c r="DFP62" s="10"/>
      <c r="DFQ62" s="10"/>
      <c r="DFR62" s="10"/>
      <c r="DFS62" s="10"/>
      <c r="DFT62" s="10"/>
      <c r="DFU62" s="10"/>
      <c r="DFV62" s="10"/>
      <c r="DFW62" s="10"/>
      <c r="DFX62" s="10"/>
      <c r="DFY62" s="10"/>
      <c r="DFZ62" s="10"/>
      <c r="DGA62" s="10"/>
      <c r="DGB62" s="10"/>
      <c r="DGC62" s="10"/>
      <c r="DGD62" s="10"/>
      <c r="DGE62" s="10"/>
      <c r="DGF62" s="10"/>
      <c r="DGG62" s="10"/>
      <c r="DGH62" s="10"/>
      <c r="DGI62" s="10"/>
      <c r="DGJ62" s="10"/>
      <c r="DGK62" s="10"/>
      <c r="DGL62" s="10"/>
      <c r="DGM62" s="10"/>
      <c r="DGN62" s="10"/>
      <c r="DGO62" s="10"/>
      <c r="DGP62" s="10"/>
      <c r="DGQ62" s="10"/>
      <c r="DGR62" s="10"/>
      <c r="DGS62" s="10"/>
      <c r="DGT62" s="10"/>
      <c r="DGU62" s="10"/>
      <c r="DGV62" s="10"/>
      <c r="DGW62" s="10"/>
      <c r="DGX62" s="10"/>
      <c r="DGY62" s="10"/>
      <c r="DGZ62" s="10"/>
      <c r="DHA62" s="10"/>
      <c r="DHB62" s="10"/>
      <c r="DHC62" s="10"/>
      <c r="DHD62" s="10"/>
      <c r="DHE62" s="10"/>
      <c r="DHF62" s="10"/>
      <c r="DHG62" s="10"/>
      <c r="DHH62" s="10"/>
      <c r="DHI62" s="10"/>
      <c r="DHJ62" s="10"/>
      <c r="DHK62" s="10"/>
      <c r="DHL62" s="10"/>
      <c r="DHM62" s="10"/>
      <c r="DHN62" s="10"/>
      <c r="DHO62" s="10"/>
      <c r="DHP62" s="10"/>
      <c r="DHQ62" s="10"/>
      <c r="DHR62" s="10"/>
      <c r="DHS62" s="10"/>
      <c r="DHT62" s="10"/>
      <c r="DHU62" s="10"/>
      <c r="DHV62" s="10"/>
      <c r="DHW62" s="10"/>
      <c r="DHX62" s="10"/>
      <c r="DHY62" s="10"/>
      <c r="DHZ62" s="10"/>
      <c r="DIA62" s="10"/>
      <c r="DIB62" s="10"/>
      <c r="DIC62" s="10"/>
      <c r="DID62" s="10"/>
      <c r="DIE62" s="10"/>
      <c r="DIF62" s="10"/>
      <c r="DIG62" s="10"/>
      <c r="DIH62" s="10"/>
      <c r="DII62" s="10"/>
      <c r="DIJ62" s="10"/>
      <c r="DIK62" s="10"/>
      <c r="DIL62" s="10"/>
      <c r="DIM62" s="10"/>
      <c r="DIN62" s="10"/>
      <c r="DIO62" s="10"/>
      <c r="DIP62" s="10"/>
      <c r="DIQ62" s="10"/>
      <c r="DIR62" s="10"/>
      <c r="DIS62" s="10"/>
      <c r="DIT62" s="10"/>
      <c r="DIU62" s="10"/>
      <c r="DIV62" s="10"/>
      <c r="DIW62" s="10"/>
      <c r="DIX62" s="10"/>
      <c r="DIY62" s="10"/>
      <c r="DIZ62" s="10"/>
      <c r="DJA62" s="10"/>
      <c r="DJB62" s="10"/>
      <c r="DJC62" s="10"/>
      <c r="DJD62" s="10"/>
      <c r="DJE62" s="10"/>
      <c r="DJF62" s="10"/>
      <c r="DJG62" s="10"/>
      <c r="DJH62" s="10"/>
      <c r="DJI62" s="10"/>
      <c r="DJJ62" s="10"/>
      <c r="DJK62" s="10"/>
      <c r="DJL62" s="10"/>
      <c r="DJM62" s="10"/>
      <c r="DJN62" s="10"/>
      <c r="DJO62" s="10"/>
      <c r="DJP62" s="10"/>
      <c r="DJQ62" s="10"/>
      <c r="DJR62" s="10"/>
      <c r="DJS62" s="10"/>
      <c r="DJT62" s="10"/>
      <c r="DJU62" s="10"/>
      <c r="DJV62" s="10"/>
      <c r="DJW62" s="10"/>
      <c r="DJX62" s="10"/>
      <c r="DJY62" s="10"/>
      <c r="DJZ62" s="10"/>
      <c r="DKA62" s="10"/>
      <c r="DKB62" s="10"/>
      <c r="DKC62" s="10"/>
      <c r="DKD62" s="10"/>
      <c r="DKE62" s="10"/>
      <c r="DKF62" s="10"/>
      <c r="DKG62" s="10"/>
      <c r="DKH62" s="10"/>
      <c r="DKI62" s="10"/>
      <c r="DKJ62" s="10"/>
      <c r="DKK62" s="10"/>
      <c r="DKL62" s="10"/>
      <c r="DKM62" s="10"/>
      <c r="DKN62" s="10"/>
      <c r="DKO62" s="10"/>
      <c r="DKP62" s="10"/>
      <c r="DKQ62" s="10"/>
      <c r="DKR62" s="10"/>
      <c r="DKS62" s="10"/>
      <c r="DKT62" s="10"/>
      <c r="DKU62" s="10"/>
      <c r="DKV62" s="10"/>
      <c r="DKW62" s="10"/>
      <c r="DKX62" s="10"/>
      <c r="DKY62" s="10"/>
      <c r="DKZ62" s="10"/>
      <c r="DLA62" s="10"/>
      <c r="DLB62" s="10"/>
      <c r="DLC62" s="10"/>
      <c r="DLD62" s="10"/>
      <c r="DLE62" s="10"/>
      <c r="DLF62" s="10"/>
      <c r="DLG62" s="10"/>
      <c r="DLH62" s="10"/>
      <c r="DLI62" s="10"/>
      <c r="DLJ62" s="10"/>
      <c r="DLK62" s="10"/>
      <c r="DLL62" s="10"/>
      <c r="DLM62" s="10"/>
      <c r="DLN62" s="10"/>
      <c r="DLO62" s="10"/>
      <c r="DLP62" s="10"/>
      <c r="DLQ62" s="10"/>
      <c r="DLR62" s="10"/>
      <c r="DLS62" s="10"/>
      <c r="DLT62" s="10"/>
      <c r="DLU62" s="10"/>
      <c r="DLV62" s="10"/>
      <c r="DLW62" s="10"/>
      <c r="DLX62" s="10"/>
      <c r="DLY62" s="10"/>
      <c r="DLZ62" s="10"/>
      <c r="DMA62" s="10"/>
      <c r="DMB62" s="10"/>
      <c r="DMC62" s="10"/>
      <c r="DMD62" s="10"/>
      <c r="DME62" s="10"/>
      <c r="DMF62" s="10"/>
      <c r="DMG62" s="10"/>
      <c r="DMH62" s="10"/>
      <c r="DMI62" s="10"/>
      <c r="DMJ62" s="10"/>
      <c r="DMK62" s="10"/>
      <c r="DML62" s="10"/>
      <c r="DMM62" s="10"/>
      <c r="DMN62" s="10"/>
      <c r="DMO62" s="10"/>
      <c r="DMP62" s="10"/>
      <c r="DMQ62" s="10"/>
      <c r="DMR62" s="10"/>
      <c r="DMS62" s="10"/>
      <c r="DMT62" s="10"/>
      <c r="DMU62" s="10"/>
      <c r="DMV62" s="10"/>
      <c r="DMW62" s="10"/>
      <c r="DMX62" s="10"/>
      <c r="DMY62" s="10"/>
      <c r="DMZ62" s="10"/>
      <c r="DNA62" s="10"/>
      <c r="DNB62" s="10"/>
      <c r="DNC62" s="10"/>
      <c r="DND62" s="10"/>
      <c r="DNE62" s="10"/>
      <c r="DNF62" s="10"/>
      <c r="DNG62" s="10"/>
      <c r="DNH62" s="10"/>
      <c r="DNI62" s="10"/>
      <c r="DNJ62" s="10"/>
      <c r="DNK62" s="10"/>
      <c r="DNL62" s="10"/>
      <c r="DNM62" s="10"/>
      <c r="DNN62" s="10"/>
      <c r="DNO62" s="10"/>
      <c r="DNP62" s="10"/>
      <c r="DNQ62" s="10"/>
      <c r="DNR62" s="10"/>
      <c r="DNS62" s="10"/>
      <c r="DNT62" s="10"/>
      <c r="DNU62" s="10"/>
      <c r="DNV62" s="10"/>
      <c r="DNW62" s="10"/>
      <c r="DNX62" s="10"/>
      <c r="DNY62" s="10"/>
      <c r="DNZ62" s="10"/>
      <c r="DOA62" s="10"/>
      <c r="DOB62" s="10"/>
      <c r="DOC62" s="10"/>
      <c r="DOD62" s="10"/>
      <c r="DOE62" s="10"/>
      <c r="DOF62" s="10"/>
      <c r="DOG62" s="10"/>
      <c r="DOH62" s="10"/>
      <c r="DOI62" s="10"/>
      <c r="DOJ62" s="10"/>
      <c r="DOK62" s="10"/>
      <c r="DOL62" s="10"/>
      <c r="DOM62" s="10"/>
      <c r="DON62" s="10"/>
      <c r="DOO62" s="10"/>
      <c r="DOP62" s="10"/>
      <c r="DOQ62" s="10"/>
      <c r="DOR62" s="10"/>
      <c r="DOS62" s="10"/>
      <c r="DOT62" s="10"/>
      <c r="DOU62" s="10"/>
      <c r="DOV62" s="10"/>
      <c r="DOW62" s="10"/>
      <c r="DOX62" s="10"/>
      <c r="DOY62" s="10"/>
      <c r="DOZ62" s="10"/>
      <c r="DPA62" s="10"/>
      <c r="DPB62" s="10"/>
      <c r="DPC62" s="10"/>
      <c r="DPD62" s="10"/>
      <c r="DPE62" s="10"/>
      <c r="DPF62" s="10"/>
      <c r="DPG62" s="10"/>
      <c r="DPH62" s="10"/>
      <c r="DPI62" s="10"/>
      <c r="DPJ62" s="10"/>
      <c r="DPK62" s="10"/>
      <c r="DPL62" s="10"/>
      <c r="DPM62" s="10"/>
      <c r="DPN62" s="10"/>
      <c r="DPO62" s="10"/>
      <c r="DPP62" s="10"/>
      <c r="DPQ62" s="10"/>
      <c r="DPR62" s="10"/>
      <c r="DPS62" s="10"/>
      <c r="DPT62" s="10"/>
      <c r="DPU62" s="10"/>
      <c r="DPV62" s="10"/>
      <c r="DPW62" s="10"/>
      <c r="DPX62" s="10"/>
      <c r="DPY62" s="10"/>
      <c r="DPZ62" s="10"/>
      <c r="DQA62" s="10"/>
      <c r="DQB62" s="10"/>
      <c r="DQC62" s="10"/>
      <c r="DQD62" s="10"/>
      <c r="DQE62" s="10"/>
      <c r="DQF62" s="10"/>
      <c r="DQG62" s="10"/>
      <c r="DQH62" s="10"/>
      <c r="DQI62" s="10"/>
      <c r="DQJ62" s="10"/>
      <c r="DQK62" s="10"/>
      <c r="DQL62" s="10"/>
      <c r="DQM62" s="10"/>
      <c r="DQN62" s="10"/>
      <c r="DQO62" s="10"/>
      <c r="DQP62" s="10"/>
      <c r="DQQ62" s="10"/>
      <c r="DQR62" s="10"/>
      <c r="DQS62" s="10"/>
      <c r="DQT62" s="10"/>
      <c r="DQU62" s="10"/>
      <c r="DQV62" s="10"/>
      <c r="DQW62" s="10"/>
      <c r="DQX62" s="10"/>
      <c r="DQY62" s="10"/>
      <c r="DQZ62" s="10"/>
      <c r="DRA62" s="10"/>
      <c r="DRB62" s="10"/>
      <c r="DRC62" s="10"/>
      <c r="DRD62" s="10"/>
      <c r="DRE62" s="10"/>
      <c r="DRF62" s="10"/>
      <c r="DRG62" s="10"/>
      <c r="DRH62" s="10"/>
      <c r="DRI62" s="10"/>
      <c r="DRJ62" s="10"/>
      <c r="DRK62" s="10"/>
      <c r="DRL62" s="10"/>
      <c r="DRM62" s="10"/>
      <c r="DRN62" s="10"/>
      <c r="DRO62" s="10"/>
      <c r="DRP62" s="10"/>
      <c r="DRQ62" s="10"/>
      <c r="DRR62" s="10"/>
      <c r="DRS62" s="10"/>
      <c r="DRT62" s="10"/>
      <c r="DRU62" s="10"/>
      <c r="DRV62" s="10"/>
      <c r="DRW62" s="10"/>
      <c r="DRX62" s="10"/>
      <c r="DRY62" s="10"/>
      <c r="DRZ62" s="10"/>
      <c r="DSA62" s="10"/>
      <c r="DSB62" s="10"/>
      <c r="DSC62" s="10"/>
      <c r="DSD62" s="10"/>
      <c r="DSE62" s="10"/>
      <c r="DSF62" s="10"/>
      <c r="DSG62" s="10"/>
      <c r="DSH62" s="10"/>
      <c r="DSI62" s="10"/>
      <c r="DSJ62" s="10"/>
      <c r="DSK62" s="10"/>
      <c r="DSL62" s="10"/>
      <c r="DSM62" s="10"/>
      <c r="DSN62" s="10"/>
      <c r="DSO62" s="10"/>
      <c r="DSP62" s="10"/>
      <c r="DSQ62" s="10"/>
      <c r="DSR62" s="10"/>
      <c r="DSS62" s="10"/>
      <c r="DST62" s="10"/>
      <c r="DSU62" s="10"/>
      <c r="DSV62" s="10"/>
      <c r="DSW62" s="10"/>
      <c r="DSX62" s="10"/>
      <c r="DSY62" s="10"/>
      <c r="DSZ62" s="10"/>
      <c r="DTA62" s="10"/>
      <c r="DTB62" s="10"/>
      <c r="DTC62" s="10"/>
      <c r="DTD62" s="10"/>
      <c r="DTE62" s="10"/>
      <c r="DTF62" s="10"/>
      <c r="DTG62" s="10"/>
      <c r="DTH62" s="10"/>
      <c r="DTI62" s="10"/>
      <c r="DTJ62" s="10"/>
      <c r="DTK62" s="10"/>
      <c r="DTL62" s="10"/>
      <c r="DTM62" s="10"/>
      <c r="DTN62" s="10"/>
      <c r="DTO62" s="10"/>
      <c r="DTP62" s="10"/>
      <c r="DTQ62" s="10"/>
      <c r="DTR62" s="10"/>
      <c r="DTS62" s="10"/>
      <c r="DTT62" s="10"/>
      <c r="DTU62" s="10"/>
      <c r="DTV62" s="10"/>
      <c r="DTW62" s="10"/>
      <c r="DTX62" s="10"/>
      <c r="DTY62" s="10"/>
      <c r="DTZ62" s="10"/>
      <c r="DUA62" s="10"/>
      <c r="DUB62" s="10"/>
      <c r="DUC62" s="10"/>
      <c r="DUD62" s="10"/>
      <c r="DUE62" s="10"/>
      <c r="DUF62" s="10"/>
      <c r="DUG62" s="10"/>
      <c r="DUH62" s="10"/>
      <c r="DUI62" s="10"/>
      <c r="DUJ62" s="10"/>
      <c r="DUK62" s="10"/>
      <c r="DUL62" s="10"/>
      <c r="DUM62" s="10"/>
      <c r="DUN62" s="10"/>
      <c r="DUO62" s="10"/>
      <c r="DUP62" s="10"/>
      <c r="DUQ62" s="10"/>
      <c r="DUR62" s="10"/>
      <c r="DUS62" s="10"/>
      <c r="DUT62" s="10"/>
      <c r="DUU62" s="10"/>
      <c r="DUV62" s="10"/>
      <c r="DUW62" s="10"/>
      <c r="DUX62" s="10"/>
      <c r="DUY62" s="10"/>
      <c r="DUZ62" s="10"/>
      <c r="DVA62" s="10"/>
      <c r="DVB62" s="10"/>
      <c r="DVC62" s="10"/>
      <c r="DVD62" s="10"/>
      <c r="DVE62" s="10"/>
      <c r="DVF62" s="10"/>
      <c r="DVG62" s="10"/>
      <c r="DVH62" s="10"/>
      <c r="DVI62" s="10"/>
      <c r="DVJ62" s="10"/>
      <c r="DVK62" s="10"/>
      <c r="DVL62" s="10"/>
      <c r="DVM62" s="10"/>
      <c r="DVN62" s="10"/>
      <c r="DVO62" s="10"/>
      <c r="DVP62" s="10"/>
      <c r="DVQ62" s="10"/>
      <c r="DVR62" s="10"/>
      <c r="DVS62" s="10"/>
      <c r="DVT62" s="10"/>
      <c r="DVU62" s="10"/>
      <c r="DVV62" s="10"/>
      <c r="DVW62" s="10"/>
      <c r="DVX62" s="10"/>
      <c r="DVY62" s="10"/>
      <c r="DVZ62" s="10"/>
      <c r="DWA62" s="10"/>
      <c r="DWB62" s="10"/>
      <c r="DWC62" s="10"/>
      <c r="DWD62" s="10"/>
      <c r="DWE62" s="10"/>
      <c r="DWF62" s="10"/>
      <c r="DWG62" s="10"/>
      <c r="DWH62" s="10"/>
      <c r="DWI62" s="10"/>
      <c r="DWJ62" s="10"/>
      <c r="DWK62" s="10"/>
      <c r="DWL62" s="10"/>
      <c r="DWM62" s="10"/>
      <c r="DWN62" s="10"/>
      <c r="DWO62" s="10"/>
      <c r="DWP62" s="10"/>
      <c r="DWQ62" s="10"/>
      <c r="DWR62" s="10"/>
      <c r="DWS62" s="10"/>
      <c r="DWT62" s="10"/>
      <c r="DWU62" s="10"/>
      <c r="DWV62" s="10"/>
      <c r="DWW62" s="10"/>
      <c r="DWX62" s="10"/>
      <c r="DWY62" s="10"/>
      <c r="DWZ62" s="10"/>
      <c r="DXA62" s="10"/>
      <c r="DXB62" s="10"/>
      <c r="DXC62" s="10"/>
      <c r="DXD62" s="10"/>
      <c r="DXE62" s="10"/>
      <c r="DXF62" s="10"/>
      <c r="DXG62" s="10"/>
      <c r="DXH62" s="10"/>
      <c r="DXI62" s="10"/>
      <c r="DXJ62" s="10"/>
      <c r="DXK62" s="10"/>
      <c r="DXL62" s="10"/>
      <c r="DXM62" s="10"/>
      <c r="DXN62" s="10"/>
      <c r="DXO62" s="10"/>
      <c r="DXP62" s="10"/>
      <c r="DXQ62" s="10"/>
      <c r="DXR62" s="10"/>
      <c r="DXS62" s="10"/>
      <c r="DXT62" s="10"/>
      <c r="DXU62" s="10"/>
      <c r="DXV62" s="10"/>
      <c r="DXW62" s="10"/>
      <c r="DXX62" s="10"/>
      <c r="DXY62" s="10"/>
      <c r="DXZ62" s="10"/>
      <c r="DYA62" s="10"/>
      <c r="DYB62" s="10"/>
      <c r="DYC62" s="10"/>
      <c r="DYD62" s="10"/>
      <c r="DYE62" s="10"/>
      <c r="DYF62" s="10"/>
      <c r="DYG62" s="10"/>
      <c r="DYH62" s="10"/>
      <c r="DYI62" s="10"/>
      <c r="DYJ62" s="10"/>
      <c r="DYK62" s="10"/>
      <c r="DYL62" s="10"/>
      <c r="DYM62" s="10"/>
      <c r="DYN62" s="10"/>
      <c r="DYO62" s="10"/>
      <c r="DYP62" s="10"/>
      <c r="DYQ62" s="10"/>
      <c r="DYR62" s="10"/>
      <c r="DYS62" s="10"/>
      <c r="DYT62" s="10"/>
      <c r="DYU62" s="10"/>
      <c r="DYV62" s="10"/>
      <c r="DYW62" s="10"/>
      <c r="DYX62" s="10"/>
      <c r="DYY62" s="10"/>
      <c r="DYZ62" s="10"/>
      <c r="DZA62" s="10"/>
      <c r="DZB62" s="10"/>
      <c r="DZC62" s="10"/>
      <c r="DZD62" s="10"/>
      <c r="DZE62" s="10"/>
      <c r="DZF62" s="10"/>
      <c r="DZG62" s="10"/>
      <c r="DZH62" s="10"/>
      <c r="DZI62" s="10"/>
      <c r="DZJ62" s="10"/>
      <c r="DZK62" s="10"/>
      <c r="DZL62" s="10"/>
      <c r="DZM62" s="10"/>
      <c r="DZN62" s="10"/>
      <c r="DZO62" s="10"/>
      <c r="DZP62" s="10"/>
      <c r="DZQ62" s="10"/>
      <c r="DZR62" s="10"/>
      <c r="DZS62" s="10"/>
      <c r="DZT62" s="10"/>
      <c r="DZU62" s="10"/>
      <c r="DZV62" s="10"/>
      <c r="DZW62" s="10"/>
      <c r="DZX62" s="10"/>
      <c r="DZY62" s="10"/>
      <c r="DZZ62" s="10"/>
      <c r="EAA62" s="10"/>
      <c r="EAB62" s="10"/>
      <c r="EAC62" s="10"/>
      <c r="EAD62" s="10"/>
      <c r="EAE62" s="10"/>
      <c r="EAF62" s="10"/>
      <c r="EAG62" s="10"/>
      <c r="EAH62" s="10"/>
      <c r="EAI62" s="10"/>
      <c r="EAJ62" s="10"/>
      <c r="EAK62" s="10"/>
      <c r="EAL62" s="10"/>
      <c r="EAM62" s="10"/>
      <c r="EAN62" s="10"/>
      <c r="EAO62" s="10"/>
      <c r="EAP62" s="10"/>
      <c r="EAQ62" s="10"/>
      <c r="EAR62" s="10"/>
      <c r="EAS62" s="10"/>
      <c r="EAT62" s="10"/>
      <c r="EAU62" s="10"/>
      <c r="EAV62" s="10"/>
      <c r="EAW62" s="10"/>
      <c r="EAX62" s="10"/>
      <c r="EAY62" s="10"/>
      <c r="EAZ62" s="10"/>
      <c r="EBA62" s="10"/>
      <c r="EBB62" s="10"/>
      <c r="EBC62" s="10"/>
      <c r="EBD62" s="10"/>
      <c r="EBE62" s="10"/>
      <c r="EBF62" s="10"/>
      <c r="EBG62" s="10"/>
      <c r="EBH62" s="10"/>
      <c r="EBI62" s="10"/>
      <c r="EBJ62" s="10"/>
      <c r="EBK62" s="10"/>
      <c r="EBL62" s="10"/>
      <c r="EBM62" s="10"/>
      <c r="EBN62" s="10"/>
      <c r="EBO62" s="10"/>
      <c r="EBP62" s="10"/>
      <c r="EBQ62" s="10"/>
      <c r="EBR62" s="10"/>
      <c r="EBS62" s="10"/>
      <c r="EBT62" s="10"/>
      <c r="EBU62" s="10"/>
      <c r="EBV62" s="10"/>
      <c r="EBW62" s="10"/>
      <c r="EBX62" s="10"/>
      <c r="EBY62" s="10"/>
      <c r="EBZ62" s="10"/>
      <c r="ECA62" s="10"/>
      <c r="ECB62" s="10"/>
      <c r="ECC62" s="10"/>
      <c r="ECD62" s="10"/>
      <c r="ECE62" s="10"/>
      <c r="ECF62" s="10"/>
      <c r="ECG62" s="10"/>
      <c r="ECH62" s="10"/>
      <c r="ECI62" s="10"/>
      <c r="ECJ62" s="10"/>
      <c r="ECK62" s="10"/>
      <c r="ECL62" s="10"/>
      <c r="ECM62" s="10"/>
      <c r="ECN62" s="10"/>
      <c r="ECO62" s="10"/>
      <c r="ECP62" s="10"/>
      <c r="ECQ62" s="10"/>
      <c r="ECR62" s="10"/>
      <c r="ECS62" s="10"/>
      <c r="ECT62" s="10"/>
      <c r="ECU62" s="10"/>
      <c r="ECV62" s="10"/>
      <c r="ECW62" s="10"/>
      <c r="ECX62" s="10"/>
      <c r="ECY62" s="10"/>
      <c r="ECZ62" s="10"/>
      <c r="EDA62" s="10"/>
      <c r="EDB62" s="10"/>
      <c r="EDC62" s="10"/>
      <c r="EDD62" s="10"/>
      <c r="EDE62" s="10"/>
      <c r="EDF62" s="10"/>
      <c r="EDG62" s="10"/>
      <c r="EDH62" s="10"/>
      <c r="EDI62" s="10"/>
      <c r="EDJ62" s="10"/>
      <c r="EDK62" s="10"/>
      <c r="EDL62" s="10"/>
      <c r="EDM62" s="10"/>
      <c r="EDN62" s="10"/>
      <c r="EDO62" s="10"/>
      <c r="EDP62" s="10"/>
      <c r="EDQ62" s="10"/>
      <c r="EDR62" s="10"/>
      <c r="EDS62" s="10"/>
      <c r="EDT62" s="10"/>
      <c r="EDU62" s="10"/>
      <c r="EDV62" s="10"/>
      <c r="EDW62" s="10"/>
      <c r="EDX62" s="10"/>
      <c r="EDY62" s="10"/>
      <c r="EDZ62" s="10"/>
      <c r="EEA62" s="10"/>
      <c r="EEB62" s="10"/>
      <c r="EEC62" s="10"/>
      <c r="EED62" s="10"/>
      <c r="EEE62" s="10"/>
      <c r="EEF62" s="10"/>
      <c r="EEG62" s="10"/>
      <c r="EEH62" s="10"/>
      <c r="EEI62" s="10"/>
      <c r="EEJ62" s="10"/>
      <c r="EEK62" s="10"/>
      <c r="EEL62" s="10"/>
      <c r="EEM62" s="10"/>
      <c r="EEN62" s="10"/>
      <c r="EEO62" s="10"/>
      <c r="EEP62" s="10"/>
      <c r="EEQ62" s="10"/>
      <c r="EER62" s="10"/>
      <c r="EES62" s="10"/>
      <c r="EET62" s="10"/>
      <c r="EEU62" s="10"/>
      <c r="EEV62" s="10"/>
      <c r="EEW62" s="10"/>
      <c r="EEX62" s="10"/>
      <c r="EEY62" s="10"/>
      <c r="EEZ62" s="10"/>
      <c r="EFA62" s="10"/>
      <c r="EFB62" s="10"/>
      <c r="EFC62" s="10"/>
      <c r="EFD62" s="10"/>
      <c r="EFE62" s="10"/>
      <c r="EFF62" s="10"/>
      <c r="EFG62" s="10"/>
      <c r="EFH62" s="10"/>
      <c r="EFI62" s="10"/>
      <c r="EFJ62" s="10"/>
      <c r="EFK62" s="10"/>
      <c r="EFL62" s="10"/>
      <c r="EFM62" s="10"/>
      <c r="EFN62" s="10"/>
      <c r="EFO62" s="10"/>
      <c r="EFP62" s="10"/>
      <c r="EFQ62" s="10"/>
      <c r="EFR62" s="10"/>
      <c r="EFS62" s="10"/>
      <c r="EFT62" s="10"/>
      <c r="EFU62" s="10"/>
      <c r="EFV62" s="10"/>
      <c r="EFW62" s="10"/>
      <c r="EFX62" s="10"/>
      <c r="EFY62" s="10"/>
      <c r="EFZ62" s="10"/>
      <c r="EGA62" s="10"/>
      <c r="EGB62" s="10"/>
      <c r="EGC62" s="10"/>
      <c r="EGD62" s="10"/>
      <c r="EGE62" s="10"/>
      <c r="EGF62" s="10"/>
      <c r="EGG62" s="10"/>
      <c r="EGH62" s="10"/>
      <c r="EGI62" s="10"/>
      <c r="EGJ62" s="10"/>
      <c r="EGK62" s="10"/>
      <c r="EGL62" s="10"/>
      <c r="EGM62" s="10"/>
      <c r="EGN62" s="10"/>
      <c r="EGO62" s="10"/>
      <c r="EGP62" s="10"/>
      <c r="EGQ62" s="10"/>
      <c r="EGR62" s="10"/>
      <c r="EGS62" s="10"/>
      <c r="EGT62" s="10"/>
      <c r="EGU62" s="10"/>
      <c r="EGV62" s="10"/>
      <c r="EGW62" s="10"/>
      <c r="EGX62" s="10"/>
      <c r="EGY62" s="10"/>
      <c r="EGZ62" s="10"/>
      <c r="EHA62" s="10"/>
      <c r="EHB62" s="10"/>
      <c r="EHC62" s="10"/>
      <c r="EHD62" s="10"/>
      <c r="EHE62" s="10"/>
      <c r="EHF62" s="10"/>
      <c r="EHG62" s="10"/>
      <c r="EHH62" s="10"/>
      <c r="EHI62" s="10"/>
      <c r="EHJ62" s="10"/>
      <c r="EHK62" s="10"/>
      <c r="EHL62" s="10"/>
      <c r="EHM62" s="10"/>
      <c r="EHN62" s="10"/>
      <c r="EHO62" s="10"/>
      <c r="EHP62" s="10"/>
      <c r="EHQ62" s="10"/>
      <c r="EHR62" s="10"/>
      <c r="EHS62" s="10"/>
      <c r="EHT62" s="10"/>
      <c r="EHU62" s="10"/>
      <c r="EHV62" s="10"/>
      <c r="EHW62" s="10"/>
      <c r="EHX62" s="10"/>
      <c r="EHY62" s="10"/>
      <c r="EHZ62" s="10"/>
      <c r="EIA62" s="10"/>
      <c r="EIB62" s="10"/>
      <c r="EIC62" s="10"/>
      <c r="EID62" s="10"/>
      <c r="EIE62" s="10"/>
      <c r="EIF62" s="10"/>
      <c r="EIG62" s="10"/>
      <c r="EIH62" s="10"/>
      <c r="EII62" s="10"/>
      <c r="EIJ62" s="10"/>
      <c r="EIK62" s="10"/>
      <c r="EIL62" s="10"/>
      <c r="EIM62" s="10"/>
      <c r="EIN62" s="10"/>
      <c r="EIO62" s="10"/>
      <c r="EIP62" s="10"/>
      <c r="EIQ62" s="10"/>
      <c r="EIR62" s="10"/>
      <c r="EIS62" s="10"/>
      <c r="EIT62" s="10"/>
      <c r="EIU62" s="10"/>
      <c r="EIV62" s="10"/>
      <c r="EIW62" s="10"/>
      <c r="EIX62" s="10"/>
      <c r="EIY62" s="10"/>
      <c r="EIZ62" s="10"/>
      <c r="EJA62" s="10"/>
      <c r="EJB62" s="10"/>
      <c r="EJC62" s="10"/>
      <c r="EJD62" s="10"/>
      <c r="EJE62" s="10"/>
      <c r="EJF62" s="10"/>
      <c r="EJG62" s="10"/>
      <c r="EJH62" s="10"/>
      <c r="EJI62" s="10"/>
      <c r="EJJ62" s="10"/>
      <c r="EJK62" s="10"/>
      <c r="EJL62" s="10"/>
      <c r="EJM62" s="10"/>
      <c r="EJN62" s="10"/>
      <c r="EJO62" s="10"/>
      <c r="EJP62" s="10"/>
      <c r="EJQ62" s="10"/>
      <c r="EJR62" s="10"/>
      <c r="EJS62" s="10"/>
      <c r="EJT62" s="10"/>
      <c r="EJU62" s="10"/>
      <c r="EJV62" s="10"/>
      <c r="EJW62" s="10"/>
      <c r="EJX62" s="10"/>
      <c r="EJY62" s="10"/>
      <c r="EJZ62" s="10"/>
      <c r="EKA62" s="10"/>
      <c r="EKB62" s="10"/>
      <c r="EKC62" s="10"/>
      <c r="EKD62" s="10"/>
      <c r="EKE62" s="10"/>
      <c r="EKF62" s="10"/>
      <c r="EKG62" s="10"/>
      <c r="EKH62" s="10"/>
      <c r="EKI62" s="10"/>
      <c r="EKJ62" s="10"/>
      <c r="EKK62" s="10"/>
      <c r="EKL62" s="10"/>
      <c r="EKM62" s="10"/>
      <c r="EKN62" s="10"/>
      <c r="EKO62" s="10"/>
      <c r="EKP62" s="10"/>
      <c r="EKQ62" s="10"/>
      <c r="EKR62" s="10"/>
      <c r="EKS62" s="10"/>
      <c r="EKT62" s="10"/>
      <c r="EKU62" s="10"/>
      <c r="EKV62" s="10"/>
      <c r="EKW62" s="10"/>
      <c r="EKX62" s="10"/>
      <c r="EKY62" s="10"/>
      <c r="EKZ62" s="10"/>
      <c r="ELA62" s="10"/>
      <c r="ELB62" s="10"/>
      <c r="ELC62" s="10"/>
      <c r="ELD62" s="10"/>
      <c r="ELE62" s="10"/>
      <c r="ELF62" s="10"/>
      <c r="ELG62" s="10"/>
      <c r="ELH62" s="10"/>
      <c r="ELI62" s="10"/>
      <c r="ELJ62" s="10"/>
      <c r="ELK62" s="10"/>
      <c r="ELL62" s="10"/>
      <c r="ELM62" s="10"/>
      <c r="ELN62" s="10"/>
      <c r="ELO62" s="10"/>
      <c r="ELP62" s="10"/>
      <c r="ELQ62" s="10"/>
      <c r="ELR62" s="10"/>
      <c r="ELS62" s="10"/>
      <c r="ELT62" s="10"/>
      <c r="ELU62" s="10"/>
      <c r="ELV62" s="10"/>
      <c r="ELW62" s="10"/>
      <c r="ELX62" s="10"/>
      <c r="ELY62" s="10"/>
      <c r="ELZ62" s="10"/>
      <c r="EMA62" s="10"/>
      <c r="EMB62" s="10"/>
      <c r="EMC62" s="10"/>
      <c r="EMD62" s="10"/>
      <c r="EME62" s="10"/>
      <c r="EMF62" s="10"/>
      <c r="EMG62" s="10"/>
      <c r="EMH62" s="10"/>
      <c r="EMI62" s="10"/>
      <c r="EMJ62" s="10"/>
      <c r="EMK62" s="10"/>
      <c r="EML62" s="10"/>
      <c r="EMM62" s="10"/>
      <c r="EMN62" s="10"/>
      <c r="EMO62" s="10"/>
      <c r="EMP62" s="10"/>
      <c r="EMQ62" s="10"/>
      <c r="EMR62" s="10"/>
      <c r="EMS62" s="10"/>
      <c r="EMT62" s="10"/>
      <c r="EMU62" s="10"/>
      <c r="EMV62" s="10"/>
      <c r="EMW62" s="10"/>
      <c r="EMX62" s="10"/>
      <c r="EMY62" s="10"/>
      <c r="EMZ62" s="10"/>
      <c r="ENA62" s="10"/>
      <c r="ENB62" s="10"/>
      <c r="ENC62" s="10"/>
      <c r="END62" s="10"/>
      <c r="ENE62" s="10"/>
      <c r="ENF62" s="10"/>
      <c r="ENG62" s="10"/>
      <c r="ENH62" s="10"/>
      <c r="ENI62" s="10"/>
      <c r="ENJ62" s="10"/>
      <c r="ENK62" s="10"/>
      <c r="ENL62" s="10"/>
      <c r="ENM62" s="10"/>
      <c r="ENN62" s="10"/>
      <c r="ENO62" s="10"/>
      <c r="ENP62" s="10"/>
      <c r="ENQ62" s="10"/>
      <c r="ENR62" s="10"/>
      <c r="ENS62" s="10"/>
      <c r="ENT62" s="10"/>
      <c r="ENU62" s="10"/>
      <c r="ENV62" s="10"/>
      <c r="ENW62" s="10"/>
      <c r="ENX62" s="10"/>
      <c r="ENY62" s="10"/>
      <c r="ENZ62" s="10"/>
      <c r="EOA62" s="10"/>
      <c r="EOB62" s="10"/>
      <c r="EOC62" s="10"/>
      <c r="EOD62" s="10"/>
      <c r="EOE62" s="10"/>
      <c r="EOF62" s="10"/>
      <c r="EOG62" s="10"/>
      <c r="EOH62" s="10"/>
      <c r="EOI62" s="10"/>
      <c r="EOJ62" s="10"/>
      <c r="EOK62" s="10"/>
      <c r="EOL62" s="10"/>
      <c r="EOM62" s="10"/>
      <c r="EON62" s="10"/>
      <c r="EOO62" s="10"/>
      <c r="EOP62" s="10"/>
      <c r="EOQ62" s="10"/>
      <c r="EOR62" s="10"/>
      <c r="EOS62" s="10"/>
      <c r="EOT62" s="10"/>
      <c r="EOU62" s="10"/>
      <c r="EOV62" s="10"/>
      <c r="EOW62" s="10"/>
      <c r="EOX62" s="10"/>
      <c r="EOY62" s="10"/>
      <c r="EOZ62" s="10"/>
      <c r="EPA62" s="10"/>
      <c r="EPB62" s="10"/>
      <c r="EPC62" s="10"/>
      <c r="EPD62" s="10"/>
      <c r="EPE62" s="10"/>
      <c r="EPF62" s="10"/>
      <c r="EPG62" s="10"/>
      <c r="EPH62" s="10"/>
      <c r="EPI62" s="10"/>
      <c r="EPJ62" s="10"/>
      <c r="EPK62" s="10"/>
      <c r="EPL62" s="10"/>
      <c r="EPM62" s="10"/>
      <c r="EPN62" s="10"/>
      <c r="EPO62" s="10"/>
      <c r="EPP62" s="10"/>
      <c r="EPQ62" s="10"/>
      <c r="EPR62" s="10"/>
      <c r="EPS62" s="10"/>
      <c r="EPT62" s="10"/>
      <c r="EPU62" s="10"/>
      <c r="EPV62" s="10"/>
      <c r="EPW62" s="10"/>
      <c r="EPX62" s="10"/>
      <c r="EPY62" s="10"/>
      <c r="EPZ62" s="10"/>
      <c r="EQA62" s="10"/>
      <c r="EQB62" s="10"/>
      <c r="EQC62" s="10"/>
      <c r="EQD62" s="10"/>
      <c r="EQE62" s="10"/>
      <c r="EQF62" s="10"/>
      <c r="EQG62" s="10"/>
      <c r="EQH62" s="10"/>
      <c r="EQI62" s="10"/>
      <c r="EQJ62" s="10"/>
      <c r="EQK62" s="10"/>
      <c r="EQL62" s="10"/>
      <c r="EQM62" s="10"/>
      <c r="EQN62" s="10"/>
      <c r="EQO62" s="10"/>
      <c r="EQP62" s="10"/>
      <c r="EQQ62" s="10"/>
      <c r="EQR62" s="10"/>
      <c r="EQS62" s="10"/>
      <c r="EQT62" s="10"/>
      <c r="EQU62" s="10"/>
      <c r="EQV62" s="10"/>
      <c r="EQW62" s="10"/>
      <c r="EQX62" s="10"/>
      <c r="EQY62" s="10"/>
      <c r="EQZ62" s="10"/>
      <c r="ERA62" s="10"/>
      <c r="ERB62" s="10"/>
      <c r="ERC62" s="10"/>
      <c r="ERD62" s="10"/>
      <c r="ERE62" s="10"/>
      <c r="ERF62" s="10"/>
      <c r="ERG62" s="10"/>
      <c r="ERH62" s="10"/>
      <c r="ERI62" s="10"/>
      <c r="ERJ62" s="10"/>
      <c r="ERK62" s="10"/>
      <c r="ERL62" s="10"/>
      <c r="ERM62" s="10"/>
      <c r="ERN62" s="10"/>
      <c r="ERO62" s="10"/>
      <c r="ERP62" s="10"/>
      <c r="ERQ62" s="10"/>
      <c r="ERR62" s="10"/>
      <c r="ERS62" s="10"/>
      <c r="ERT62" s="10"/>
      <c r="ERU62" s="10"/>
      <c r="ERV62" s="10"/>
      <c r="ERW62" s="10"/>
      <c r="ERX62" s="10"/>
      <c r="ERY62" s="10"/>
      <c r="ERZ62" s="10"/>
      <c r="ESA62" s="10"/>
      <c r="ESB62" s="10"/>
      <c r="ESC62" s="10"/>
      <c r="ESD62" s="10"/>
      <c r="ESE62" s="10"/>
      <c r="ESF62" s="10"/>
      <c r="ESG62" s="10"/>
      <c r="ESH62" s="10"/>
      <c r="ESI62" s="10"/>
      <c r="ESJ62" s="10"/>
      <c r="ESK62" s="10"/>
      <c r="ESL62" s="10"/>
      <c r="ESM62" s="10"/>
      <c r="ESN62" s="10"/>
      <c r="ESO62" s="10"/>
      <c r="ESP62" s="10"/>
      <c r="ESQ62" s="10"/>
      <c r="ESR62" s="10"/>
      <c r="ESS62" s="10"/>
      <c r="EST62" s="10"/>
      <c r="ESU62" s="10"/>
      <c r="ESV62" s="10"/>
      <c r="ESW62" s="10"/>
      <c r="ESX62" s="10"/>
      <c r="ESY62" s="10"/>
      <c r="ESZ62" s="10"/>
      <c r="ETA62" s="10"/>
      <c r="ETB62" s="10"/>
      <c r="ETC62" s="10"/>
      <c r="ETD62" s="10"/>
      <c r="ETE62" s="10"/>
      <c r="ETF62" s="10"/>
      <c r="ETG62" s="10"/>
      <c r="ETH62" s="10"/>
      <c r="ETI62" s="10"/>
      <c r="ETJ62" s="10"/>
      <c r="ETK62" s="10"/>
      <c r="ETL62" s="10"/>
      <c r="ETM62" s="10"/>
      <c r="ETN62" s="10"/>
      <c r="ETO62" s="10"/>
      <c r="ETP62" s="10"/>
      <c r="ETQ62" s="10"/>
      <c r="ETR62" s="10"/>
      <c r="ETS62" s="10"/>
      <c r="ETT62" s="10"/>
      <c r="ETU62" s="10"/>
      <c r="ETV62" s="10"/>
      <c r="ETW62" s="10"/>
      <c r="ETX62" s="10"/>
      <c r="ETY62" s="10"/>
      <c r="ETZ62" s="10"/>
      <c r="EUA62" s="10"/>
      <c r="EUB62" s="10"/>
      <c r="EUC62" s="10"/>
      <c r="EUD62" s="10"/>
      <c r="EUE62" s="10"/>
      <c r="EUF62" s="10"/>
      <c r="EUG62" s="10"/>
      <c r="EUH62" s="10"/>
      <c r="EUI62" s="10"/>
      <c r="EUJ62" s="10"/>
      <c r="EUK62" s="10"/>
      <c r="EUL62" s="10"/>
      <c r="EUM62" s="10"/>
      <c r="EUN62" s="10"/>
      <c r="EUO62" s="10"/>
      <c r="EUP62" s="10"/>
      <c r="EUQ62" s="10"/>
      <c r="EUR62" s="10"/>
      <c r="EUS62" s="10"/>
      <c r="EUT62" s="10"/>
      <c r="EUU62" s="10"/>
      <c r="EUV62" s="10"/>
      <c r="EUW62" s="10"/>
      <c r="EUX62" s="10"/>
      <c r="EUY62" s="10"/>
      <c r="EUZ62" s="10"/>
      <c r="EVA62" s="10"/>
      <c r="EVB62" s="10"/>
      <c r="EVC62" s="10"/>
      <c r="EVD62" s="10"/>
      <c r="EVE62" s="10"/>
      <c r="EVF62" s="10"/>
      <c r="EVG62" s="10"/>
      <c r="EVH62" s="10"/>
      <c r="EVI62" s="10"/>
      <c r="EVJ62" s="10"/>
      <c r="EVK62" s="10"/>
      <c r="EVL62" s="10"/>
      <c r="EVM62" s="10"/>
      <c r="EVN62" s="10"/>
      <c r="EVO62" s="10"/>
      <c r="EVP62" s="10"/>
      <c r="EVQ62" s="10"/>
      <c r="EVR62" s="10"/>
      <c r="EVS62" s="10"/>
      <c r="EVT62" s="10"/>
      <c r="EVU62" s="10"/>
      <c r="EVV62" s="10"/>
      <c r="EVW62" s="10"/>
      <c r="EVX62" s="10"/>
      <c r="EVY62" s="10"/>
      <c r="EVZ62" s="10"/>
      <c r="EWA62" s="10"/>
      <c r="EWB62" s="10"/>
      <c r="EWC62" s="10"/>
      <c r="EWD62" s="10"/>
      <c r="EWE62" s="10"/>
      <c r="EWF62" s="10"/>
      <c r="EWG62" s="10"/>
      <c r="EWH62" s="10"/>
      <c r="EWI62" s="10"/>
      <c r="EWJ62" s="10"/>
      <c r="EWK62" s="10"/>
      <c r="EWL62" s="10"/>
      <c r="EWM62" s="10"/>
      <c r="EWN62" s="10"/>
      <c r="EWO62" s="10"/>
      <c r="EWP62" s="10"/>
      <c r="EWQ62" s="10"/>
      <c r="EWR62" s="10"/>
      <c r="EWS62" s="10"/>
      <c r="EWT62" s="10"/>
      <c r="EWU62" s="10"/>
      <c r="EWV62" s="10"/>
      <c r="EWW62" s="10"/>
      <c r="EWX62" s="10"/>
      <c r="EWY62" s="10"/>
      <c r="EWZ62" s="10"/>
      <c r="EXA62" s="10"/>
      <c r="EXB62" s="10"/>
      <c r="EXC62" s="10"/>
      <c r="EXD62" s="10"/>
      <c r="EXE62" s="10"/>
      <c r="EXF62" s="10"/>
      <c r="EXG62" s="10"/>
      <c r="EXH62" s="10"/>
      <c r="EXI62" s="10"/>
      <c r="EXJ62" s="10"/>
      <c r="EXK62" s="10"/>
      <c r="EXL62" s="10"/>
      <c r="EXM62" s="10"/>
      <c r="EXN62" s="10"/>
      <c r="EXO62" s="10"/>
      <c r="EXP62" s="10"/>
      <c r="EXQ62" s="10"/>
      <c r="EXR62" s="10"/>
      <c r="EXS62" s="10"/>
      <c r="EXT62" s="10"/>
      <c r="EXU62" s="10"/>
      <c r="EXV62" s="10"/>
      <c r="EXW62" s="10"/>
      <c r="EXX62" s="10"/>
      <c r="EXY62" s="10"/>
      <c r="EXZ62" s="10"/>
      <c r="EYA62" s="10"/>
      <c r="EYB62" s="10"/>
      <c r="EYC62" s="10"/>
      <c r="EYD62" s="10"/>
      <c r="EYE62" s="10"/>
      <c r="EYF62" s="10"/>
      <c r="EYG62" s="10"/>
      <c r="EYH62" s="10"/>
      <c r="EYI62" s="10"/>
      <c r="EYJ62" s="10"/>
      <c r="EYK62" s="10"/>
      <c r="EYL62" s="10"/>
      <c r="EYM62" s="10"/>
      <c r="EYN62" s="10"/>
      <c r="EYO62" s="10"/>
      <c r="EYP62" s="10"/>
      <c r="EYQ62" s="10"/>
      <c r="EYR62" s="10"/>
      <c r="EYS62" s="10"/>
      <c r="EYT62" s="10"/>
      <c r="EYU62" s="10"/>
      <c r="EYV62" s="10"/>
      <c r="EYW62" s="10"/>
      <c r="EYX62" s="10"/>
      <c r="EYY62" s="10"/>
      <c r="EYZ62" s="10"/>
      <c r="EZA62" s="10"/>
      <c r="EZB62" s="10"/>
      <c r="EZC62" s="10"/>
      <c r="EZD62" s="10"/>
      <c r="EZE62" s="10"/>
      <c r="EZF62" s="10"/>
      <c r="EZG62" s="10"/>
      <c r="EZH62" s="10"/>
      <c r="EZI62" s="10"/>
      <c r="EZJ62" s="10"/>
      <c r="EZK62" s="10"/>
      <c r="EZL62" s="10"/>
      <c r="EZM62" s="10"/>
      <c r="EZN62" s="10"/>
      <c r="EZO62" s="10"/>
      <c r="EZP62" s="10"/>
      <c r="EZQ62" s="10"/>
      <c r="EZR62" s="10"/>
      <c r="EZS62" s="10"/>
      <c r="EZT62" s="10"/>
      <c r="EZU62" s="10"/>
      <c r="EZV62" s="10"/>
      <c r="EZW62" s="10"/>
      <c r="EZX62" s="10"/>
      <c r="EZY62" s="10"/>
      <c r="EZZ62" s="10"/>
      <c r="FAA62" s="10"/>
      <c r="FAB62" s="10"/>
      <c r="FAC62" s="10"/>
      <c r="FAD62" s="10"/>
      <c r="FAE62" s="10"/>
      <c r="FAF62" s="10"/>
      <c r="FAG62" s="10"/>
      <c r="FAH62" s="10"/>
      <c r="FAI62" s="10"/>
      <c r="FAJ62" s="10"/>
      <c r="FAK62" s="10"/>
      <c r="FAL62" s="10"/>
      <c r="FAM62" s="10"/>
      <c r="FAN62" s="10"/>
      <c r="FAO62" s="10"/>
      <c r="FAP62" s="10"/>
      <c r="FAQ62" s="10"/>
      <c r="FAR62" s="10"/>
      <c r="FAS62" s="10"/>
      <c r="FAT62" s="10"/>
      <c r="FAU62" s="10"/>
      <c r="FAV62" s="10"/>
      <c r="FAW62" s="10"/>
      <c r="FAX62" s="10"/>
      <c r="FAY62" s="10"/>
      <c r="FAZ62" s="10"/>
      <c r="FBA62" s="10"/>
      <c r="FBB62" s="10"/>
      <c r="FBC62" s="10"/>
      <c r="FBD62" s="10"/>
      <c r="FBE62" s="10"/>
      <c r="FBF62" s="10"/>
      <c r="FBG62" s="10"/>
      <c r="FBH62" s="10"/>
      <c r="FBI62" s="10"/>
      <c r="FBJ62" s="10"/>
      <c r="FBK62" s="10"/>
      <c r="FBL62" s="10"/>
      <c r="FBM62" s="10"/>
      <c r="FBN62" s="10"/>
      <c r="FBO62" s="10"/>
      <c r="FBP62" s="10"/>
      <c r="FBQ62" s="10"/>
      <c r="FBR62" s="10"/>
      <c r="FBS62" s="10"/>
      <c r="FBT62" s="10"/>
      <c r="FBU62" s="10"/>
      <c r="FBV62" s="10"/>
      <c r="FBW62" s="10"/>
      <c r="FBX62" s="10"/>
      <c r="FBY62" s="10"/>
      <c r="FBZ62" s="10"/>
      <c r="FCA62" s="10"/>
      <c r="FCB62" s="10"/>
      <c r="FCC62" s="10"/>
      <c r="FCD62" s="10"/>
      <c r="FCE62" s="10"/>
      <c r="FCF62" s="10"/>
      <c r="FCG62" s="10"/>
      <c r="FCH62" s="10"/>
      <c r="FCI62" s="10"/>
      <c r="FCJ62" s="10"/>
      <c r="FCK62" s="10"/>
      <c r="FCL62" s="10"/>
      <c r="FCM62" s="10"/>
      <c r="FCN62" s="10"/>
      <c r="FCO62" s="10"/>
      <c r="FCP62" s="10"/>
      <c r="FCQ62" s="10"/>
      <c r="FCR62" s="10"/>
      <c r="FCS62" s="10"/>
      <c r="FCT62" s="10"/>
      <c r="FCU62" s="10"/>
      <c r="FCV62" s="10"/>
      <c r="FCW62" s="10"/>
      <c r="FCX62" s="10"/>
      <c r="FCY62" s="10"/>
      <c r="FCZ62" s="10"/>
      <c r="FDA62" s="10"/>
      <c r="FDB62" s="10"/>
      <c r="FDC62" s="10"/>
      <c r="FDD62" s="10"/>
      <c r="FDE62" s="10"/>
      <c r="FDF62" s="10"/>
      <c r="FDG62" s="10"/>
      <c r="FDH62" s="10"/>
      <c r="FDI62" s="10"/>
      <c r="FDJ62" s="10"/>
      <c r="FDK62" s="10"/>
      <c r="FDL62" s="10"/>
      <c r="FDM62" s="10"/>
      <c r="FDN62" s="10"/>
      <c r="FDO62" s="10"/>
      <c r="FDP62" s="10"/>
      <c r="FDQ62" s="10"/>
      <c r="FDR62" s="10"/>
      <c r="FDS62" s="10"/>
      <c r="FDT62" s="10"/>
      <c r="FDU62" s="10"/>
      <c r="FDV62" s="10"/>
      <c r="FDW62" s="10"/>
      <c r="FDX62" s="10"/>
      <c r="FDY62" s="10"/>
      <c r="FDZ62" s="10"/>
      <c r="FEA62" s="10"/>
      <c r="FEB62" s="10"/>
      <c r="FEC62" s="10"/>
      <c r="FED62" s="10"/>
      <c r="FEE62" s="10"/>
      <c r="FEF62" s="10"/>
      <c r="FEG62" s="10"/>
      <c r="FEH62" s="10"/>
      <c r="FEI62" s="10"/>
      <c r="FEJ62" s="10"/>
      <c r="FEK62" s="10"/>
      <c r="FEL62" s="10"/>
      <c r="FEM62" s="10"/>
      <c r="FEN62" s="10"/>
      <c r="FEO62" s="10"/>
      <c r="FEP62" s="10"/>
      <c r="FEQ62" s="10"/>
      <c r="FER62" s="10"/>
      <c r="FES62" s="10"/>
      <c r="FET62" s="10"/>
      <c r="FEU62" s="10"/>
      <c r="FEV62" s="10"/>
      <c r="FEW62" s="10"/>
      <c r="FEX62" s="10"/>
      <c r="FEY62" s="10"/>
      <c r="FEZ62" s="10"/>
      <c r="FFA62" s="10"/>
      <c r="FFB62" s="10"/>
      <c r="FFC62" s="10"/>
      <c r="FFD62" s="10"/>
      <c r="FFE62" s="10"/>
      <c r="FFF62" s="10"/>
      <c r="FFG62" s="10"/>
      <c r="FFH62" s="10"/>
      <c r="FFI62" s="10"/>
      <c r="FFJ62" s="10"/>
      <c r="FFK62" s="10"/>
      <c r="FFL62" s="10"/>
      <c r="FFM62" s="10"/>
      <c r="FFN62" s="10"/>
      <c r="FFO62" s="10"/>
      <c r="FFP62" s="10"/>
      <c r="FFQ62" s="10"/>
      <c r="FFR62" s="10"/>
      <c r="FFS62" s="10"/>
      <c r="FFT62" s="10"/>
      <c r="FFU62" s="10"/>
      <c r="FFV62" s="10"/>
      <c r="FFW62" s="10"/>
      <c r="FFX62" s="10"/>
      <c r="FFY62" s="10"/>
      <c r="FFZ62" s="10"/>
      <c r="FGA62" s="10"/>
      <c r="FGB62" s="10"/>
      <c r="FGC62" s="10"/>
      <c r="FGD62" s="10"/>
      <c r="FGE62" s="10"/>
      <c r="FGF62" s="10"/>
      <c r="FGG62" s="10"/>
      <c r="FGH62" s="10"/>
      <c r="FGI62" s="10"/>
      <c r="FGJ62" s="10"/>
      <c r="FGK62" s="10"/>
      <c r="FGL62" s="10"/>
      <c r="FGM62" s="10"/>
      <c r="FGN62" s="10"/>
      <c r="FGO62" s="10"/>
      <c r="FGP62" s="10"/>
      <c r="FGQ62" s="10"/>
      <c r="FGR62" s="10"/>
      <c r="FGS62" s="10"/>
      <c r="FGT62" s="10"/>
      <c r="FGU62" s="10"/>
      <c r="FGV62" s="10"/>
      <c r="FGW62" s="10"/>
      <c r="FGX62" s="10"/>
      <c r="FGY62" s="10"/>
      <c r="FGZ62" s="10"/>
      <c r="FHA62" s="10"/>
      <c r="FHB62" s="10"/>
      <c r="FHC62" s="10"/>
      <c r="FHD62" s="10"/>
      <c r="FHE62" s="10"/>
      <c r="FHF62" s="10"/>
      <c r="FHG62" s="10"/>
      <c r="FHH62" s="10"/>
      <c r="FHI62" s="10"/>
      <c r="FHJ62" s="10"/>
      <c r="FHK62" s="10"/>
      <c r="FHL62" s="10"/>
      <c r="FHM62" s="10"/>
      <c r="FHN62" s="10"/>
      <c r="FHO62" s="10"/>
      <c r="FHP62" s="10"/>
      <c r="FHQ62" s="10"/>
      <c r="FHR62" s="10"/>
      <c r="FHS62" s="10"/>
      <c r="FHT62" s="10"/>
      <c r="FHU62" s="10"/>
      <c r="FHV62" s="10"/>
      <c r="FHW62" s="10"/>
      <c r="FHX62" s="10"/>
      <c r="FHY62" s="10"/>
      <c r="FHZ62" s="10"/>
      <c r="FIA62" s="10"/>
      <c r="FIB62" s="10"/>
      <c r="FIC62" s="10"/>
      <c r="FID62" s="10"/>
      <c r="FIE62" s="10"/>
      <c r="FIF62" s="10"/>
      <c r="FIG62" s="10"/>
      <c r="FIH62" s="10"/>
      <c r="FII62" s="10"/>
      <c r="FIJ62" s="10"/>
      <c r="FIK62" s="10"/>
      <c r="FIL62" s="10"/>
      <c r="FIM62" s="10"/>
      <c r="FIN62" s="10"/>
      <c r="FIO62" s="10"/>
      <c r="FIP62" s="10"/>
      <c r="FIQ62" s="10"/>
      <c r="FIR62" s="10"/>
      <c r="FIS62" s="10"/>
      <c r="FIT62" s="10"/>
      <c r="FIU62" s="10"/>
      <c r="FIV62" s="10"/>
      <c r="FIW62" s="10"/>
      <c r="FIX62" s="10"/>
      <c r="FIY62" s="10"/>
      <c r="FIZ62" s="10"/>
      <c r="FJA62" s="10"/>
      <c r="FJB62" s="10"/>
      <c r="FJC62" s="10"/>
      <c r="FJD62" s="10"/>
      <c r="FJE62" s="10"/>
      <c r="FJF62" s="10"/>
      <c r="FJG62" s="10"/>
      <c r="FJH62" s="10"/>
      <c r="FJI62" s="10"/>
      <c r="FJJ62" s="10"/>
      <c r="FJK62" s="10"/>
      <c r="FJL62" s="10"/>
      <c r="FJM62" s="10"/>
      <c r="FJN62" s="10"/>
      <c r="FJO62" s="10"/>
      <c r="FJP62" s="10"/>
      <c r="FJQ62" s="10"/>
      <c r="FJR62" s="10"/>
      <c r="FJS62" s="10"/>
      <c r="FJT62" s="10"/>
      <c r="FJU62" s="10"/>
      <c r="FJV62" s="10"/>
      <c r="FJW62" s="10"/>
      <c r="FJX62" s="10"/>
      <c r="FJY62" s="10"/>
      <c r="FJZ62" s="10"/>
      <c r="FKA62" s="10"/>
      <c r="FKB62" s="10"/>
      <c r="FKC62" s="10"/>
      <c r="FKD62" s="10"/>
      <c r="FKE62" s="10"/>
      <c r="FKF62" s="10"/>
      <c r="FKG62" s="10"/>
      <c r="FKH62" s="10"/>
      <c r="FKI62" s="10"/>
      <c r="FKJ62" s="10"/>
      <c r="FKK62" s="10"/>
      <c r="FKL62" s="10"/>
      <c r="FKM62" s="10"/>
      <c r="FKN62" s="10"/>
      <c r="FKO62" s="10"/>
      <c r="FKP62" s="10"/>
      <c r="FKQ62" s="10"/>
      <c r="FKR62" s="10"/>
      <c r="FKS62" s="10"/>
      <c r="FKT62" s="10"/>
      <c r="FKU62" s="10"/>
      <c r="FKV62" s="10"/>
      <c r="FKW62" s="10"/>
      <c r="FKX62" s="10"/>
      <c r="FKY62" s="10"/>
      <c r="FKZ62" s="10"/>
      <c r="FLA62" s="10"/>
      <c r="FLB62" s="10"/>
      <c r="FLC62" s="10"/>
      <c r="FLD62" s="10"/>
      <c r="FLE62" s="10"/>
      <c r="FLF62" s="10"/>
      <c r="FLG62" s="10"/>
      <c r="FLH62" s="10"/>
      <c r="FLI62" s="10"/>
      <c r="FLJ62" s="10"/>
      <c r="FLK62" s="10"/>
      <c r="FLL62" s="10"/>
      <c r="FLM62" s="10"/>
      <c r="FLN62" s="10"/>
      <c r="FLO62" s="10"/>
      <c r="FLP62" s="10"/>
      <c r="FLQ62" s="10"/>
      <c r="FLR62" s="10"/>
      <c r="FLS62" s="10"/>
      <c r="FLT62" s="10"/>
      <c r="FLU62" s="10"/>
      <c r="FLV62" s="10"/>
      <c r="FLW62" s="10"/>
      <c r="FLX62" s="10"/>
      <c r="FLY62" s="10"/>
      <c r="FLZ62" s="10"/>
      <c r="FMA62" s="10"/>
      <c r="FMB62" s="10"/>
      <c r="FMC62" s="10"/>
      <c r="FMD62" s="10"/>
      <c r="FME62" s="10"/>
      <c r="FMF62" s="10"/>
      <c r="FMG62" s="10"/>
      <c r="FMH62" s="10"/>
      <c r="FMI62" s="10"/>
      <c r="FMJ62" s="10"/>
      <c r="FMK62" s="10"/>
      <c r="FML62" s="10"/>
      <c r="FMM62" s="10"/>
      <c r="FMN62" s="10"/>
      <c r="FMO62" s="10"/>
      <c r="FMP62" s="10"/>
      <c r="FMQ62" s="10"/>
      <c r="FMR62" s="10"/>
      <c r="FMS62" s="10"/>
      <c r="FMT62" s="10"/>
      <c r="FMU62" s="10"/>
      <c r="FMV62" s="10"/>
      <c r="FMW62" s="10"/>
      <c r="FMX62" s="10"/>
      <c r="FMY62" s="10"/>
      <c r="FMZ62" s="10"/>
      <c r="FNA62" s="10"/>
      <c r="FNB62" s="10"/>
      <c r="FNC62" s="10"/>
      <c r="FND62" s="10"/>
      <c r="FNE62" s="10"/>
      <c r="FNF62" s="10"/>
      <c r="FNG62" s="10"/>
      <c r="FNH62" s="10"/>
      <c r="FNI62" s="10"/>
      <c r="FNJ62" s="10"/>
      <c r="FNK62" s="10"/>
      <c r="FNL62" s="10"/>
      <c r="FNM62" s="10"/>
      <c r="FNN62" s="10"/>
      <c r="FNO62" s="10"/>
      <c r="FNP62" s="10"/>
      <c r="FNQ62" s="10"/>
      <c r="FNR62" s="10"/>
      <c r="FNS62" s="10"/>
      <c r="FNT62" s="10"/>
      <c r="FNU62" s="10"/>
      <c r="FNV62" s="10"/>
      <c r="FNW62" s="10"/>
      <c r="FNX62" s="10"/>
      <c r="FNY62" s="10"/>
      <c r="FNZ62" s="10"/>
      <c r="FOA62" s="10"/>
      <c r="FOB62" s="10"/>
      <c r="FOC62" s="10"/>
      <c r="FOD62" s="10"/>
      <c r="FOE62" s="10"/>
      <c r="FOF62" s="10"/>
      <c r="FOG62" s="10"/>
      <c r="FOH62" s="10"/>
      <c r="FOI62" s="10"/>
      <c r="FOJ62" s="10"/>
      <c r="FOK62" s="10"/>
      <c r="FOL62" s="10"/>
      <c r="FOM62" s="10"/>
      <c r="FON62" s="10"/>
      <c r="FOO62" s="10"/>
      <c r="FOP62" s="10"/>
      <c r="FOQ62" s="10"/>
      <c r="FOR62" s="10"/>
      <c r="FOS62" s="10"/>
      <c r="FOT62" s="10"/>
      <c r="FOU62" s="10"/>
      <c r="FOV62" s="10"/>
      <c r="FOW62" s="10"/>
      <c r="FOX62" s="10"/>
      <c r="FOY62" s="10"/>
      <c r="FOZ62" s="10"/>
      <c r="FPA62" s="10"/>
      <c r="FPB62" s="10"/>
      <c r="FPC62" s="10"/>
      <c r="FPD62" s="10"/>
      <c r="FPE62" s="10"/>
      <c r="FPF62" s="10"/>
      <c r="FPG62" s="10"/>
      <c r="FPH62" s="10"/>
      <c r="FPI62" s="10"/>
      <c r="FPJ62" s="10"/>
      <c r="FPK62" s="10"/>
      <c r="FPL62" s="10"/>
      <c r="FPM62" s="10"/>
      <c r="FPN62" s="10"/>
      <c r="FPO62" s="10"/>
      <c r="FPP62" s="10"/>
      <c r="FPQ62" s="10"/>
      <c r="FPR62" s="10"/>
      <c r="FPS62" s="10"/>
      <c r="FPT62" s="10"/>
      <c r="FPU62" s="10"/>
      <c r="FPV62" s="10"/>
      <c r="FPW62" s="10"/>
      <c r="FPX62" s="10"/>
      <c r="FPY62" s="10"/>
      <c r="FPZ62" s="10"/>
      <c r="FQA62" s="10"/>
      <c r="FQB62" s="10"/>
      <c r="FQC62" s="10"/>
      <c r="FQD62" s="10"/>
      <c r="FQE62" s="10"/>
      <c r="FQF62" s="10"/>
      <c r="FQG62" s="10"/>
      <c r="FQH62" s="10"/>
      <c r="FQI62" s="10"/>
      <c r="FQJ62" s="10"/>
      <c r="FQK62" s="10"/>
      <c r="FQL62" s="10"/>
      <c r="FQM62" s="10"/>
      <c r="FQN62" s="10"/>
      <c r="FQO62" s="10"/>
      <c r="FQP62" s="10"/>
      <c r="FQQ62" s="10"/>
      <c r="FQR62" s="10"/>
      <c r="FQS62" s="10"/>
      <c r="FQT62" s="10"/>
      <c r="FQU62" s="10"/>
      <c r="FQV62" s="10"/>
      <c r="FQW62" s="10"/>
      <c r="FQX62" s="10"/>
      <c r="FQY62" s="10"/>
      <c r="FQZ62" s="10"/>
      <c r="FRA62" s="10"/>
      <c r="FRB62" s="10"/>
      <c r="FRC62" s="10"/>
      <c r="FRD62" s="10"/>
      <c r="FRE62" s="10"/>
      <c r="FRF62" s="10"/>
      <c r="FRG62" s="10"/>
      <c r="FRH62" s="10"/>
      <c r="FRI62" s="10"/>
      <c r="FRJ62" s="10"/>
      <c r="FRK62" s="10"/>
      <c r="FRL62" s="10"/>
      <c r="FRM62" s="10"/>
      <c r="FRN62" s="10"/>
      <c r="FRO62" s="10"/>
      <c r="FRP62" s="10"/>
      <c r="FRQ62" s="10"/>
      <c r="FRR62" s="10"/>
      <c r="FRS62" s="10"/>
      <c r="FRT62" s="10"/>
      <c r="FRU62" s="10"/>
      <c r="FRV62" s="10"/>
      <c r="FRW62" s="10"/>
      <c r="FRX62" s="10"/>
      <c r="FRY62" s="10"/>
      <c r="FRZ62" s="10"/>
      <c r="FSA62" s="10"/>
      <c r="FSB62" s="10"/>
      <c r="FSC62" s="10"/>
      <c r="FSD62" s="10"/>
      <c r="FSE62" s="10"/>
      <c r="FSF62" s="10"/>
      <c r="FSG62" s="10"/>
      <c r="FSH62" s="10"/>
      <c r="FSI62" s="10"/>
      <c r="FSJ62" s="10"/>
      <c r="FSK62" s="10"/>
      <c r="FSL62" s="10"/>
      <c r="FSM62" s="10"/>
      <c r="FSN62" s="10"/>
      <c r="FSO62" s="10"/>
      <c r="FSP62" s="10"/>
      <c r="FSQ62" s="10"/>
      <c r="FSR62" s="10"/>
      <c r="FSS62" s="10"/>
      <c r="FST62" s="10"/>
      <c r="FSU62" s="10"/>
      <c r="FSV62" s="10"/>
      <c r="FSW62" s="10"/>
      <c r="FSX62" s="10"/>
      <c r="FSY62" s="10"/>
      <c r="FSZ62" s="10"/>
      <c r="FTA62" s="10"/>
      <c r="FTB62" s="10"/>
      <c r="FTC62" s="10"/>
      <c r="FTD62" s="10"/>
      <c r="FTE62" s="10"/>
      <c r="FTF62" s="10"/>
      <c r="FTG62" s="10"/>
      <c r="FTH62" s="10"/>
      <c r="FTI62" s="10"/>
      <c r="FTJ62" s="10"/>
      <c r="FTK62" s="10"/>
      <c r="FTL62" s="10"/>
      <c r="FTM62" s="10"/>
      <c r="FTN62" s="10"/>
      <c r="FTO62" s="10"/>
      <c r="FTP62" s="10"/>
      <c r="FTQ62" s="10"/>
      <c r="FTR62" s="10"/>
      <c r="FTS62" s="10"/>
      <c r="FTT62" s="10"/>
      <c r="FTU62" s="10"/>
      <c r="FTV62" s="10"/>
      <c r="FTW62" s="10"/>
      <c r="FTX62" s="10"/>
      <c r="FTY62" s="10"/>
      <c r="FTZ62" s="10"/>
      <c r="FUA62" s="10"/>
      <c r="FUB62" s="10"/>
      <c r="FUC62" s="10"/>
      <c r="FUD62" s="10"/>
      <c r="FUE62" s="10"/>
      <c r="FUF62" s="10"/>
      <c r="FUG62" s="10"/>
      <c r="FUH62" s="10"/>
      <c r="FUI62" s="10"/>
      <c r="FUJ62" s="10"/>
      <c r="FUK62" s="10"/>
      <c r="FUL62" s="10"/>
      <c r="FUM62" s="10"/>
      <c r="FUN62" s="10"/>
      <c r="FUO62" s="10"/>
      <c r="FUP62" s="10"/>
      <c r="FUQ62" s="10"/>
      <c r="FUR62" s="10"/>
      <c r="FUS62" s="10"/>
      <c r="FUT62" s="10"/>
      <c r="FUU62" s="10"/>
      <c r="FUV62" s="10"/>
      <c r="FUW62" s="10"/>
      <c r="FUX62" s="10"/>
      <c r="FUY62" s="10"/>
      <c r="FUZ62" s="10"/>
      <c r="FVA62" s="10"/>
      <c r="FVB62" s="10"/>
      <c r="FVC62" s="10"/>
      <c r="FVD62" s="10"/>
      <c r="FVE62" s="10"/>
      <c r="FVF62" s="10"/>
      <c r="FVG62" s="10"/>
      <c r="FVH62" s="10"/>
      <c r="FVI62" s="10"/>
      <c r="FVJ62" s="10"/>
      <c r="FVK62" s="10"/>
      <c r="FVL62" s="10"/>
      <c r="FVM62" s="10"/>
      <c r="FVN62" s="10"/>
      <c r="FVO62" s="10"/>
      <c r="FVP62" s="10"/>
      <c r="FVQ62" s="10"/>
      <c r="FVR62" s="10"/>
      <c r="FVS62" s="10"/>
      <c r="FVT62" s="10"/>
      <c r="FVU62" s="10"/>
      <c r="FVV62" s="10"/>
      <c r="FVW62" s="10"/>
      <c r="FVX62" s="10"/>
      <c r="FVY62" s="10"/>
      <c r="FVZ62" s="10"/>
      <c r="FWA62" s="10"/>
      <c r="FWB62" s="10"/>
      <c r="FWC62" s="10"/>
      <c r="FWD62" s="10"/>
      <c r="FWE62" s="10"/>
      <c r="FWF62" s="10"/>
      <c r="FWG62" s="10"/>
      <c r="FWH62" s="10"/>
      <c r="FWI62" s="10"/>
      <c r="FWJ62" s="10"/>
      <c r="FWK62" s="10"/>
      <c r="FWL62" s="10"/>
      <c r="FWM62" s="10"/>
      <c r="FWN62" s="10"/>
      <c r="FWO62" s="10"/>
      <c r="FWP62" s="10"/>
      <c r="FWQ62" s="10"/>
      <c r="FWR62" s="10"/>
      <c r="FWS62" s="10"/>
      <c r="FWT62" s="10"/>
      <c r="FWU62" s="10"/>
      <c r="FWV62" s="10"/>
      <c r="FWW62" s="10"/>
      <c r="FWX62" s="10"/>
      <c r="FWY62" s="10"/>
      <c r="FWZ62" s="10"/>
      <c r="FXA62" s="10"/>
      <c r="FXB62" s="10"/>
      <c r="FXC62" s="10"/>
      <c r="FXD62" s="10"/>
      <c r="FXE62" s="10"/>
      <c r="FXF62" s="10"/>
      <c r="FXG62" s="10"/>
      <c r="FXH62" s="10"/>
      <c r="FXI62" s="10"/>
      <c r="FXJ62" s="10"/>
      <c r="FXK62" s="10"/>
      <c r="FXL62" s="10"/>
      <c r="FXM62" s="10"/>
      <c r="FXN62" s="10"/>
      <c r="FXO62" s="10"/>
      <c r="FXP62" s="10"/>
      <c r="FXQ62" s="10"/>
      <c r="FXR62" s="10"/>
      <c r="FXS62" s="10"/>
      <c r="FXT62" s="10"/>
      <c r="FXU62" s="10"/>
      <c r="FXV62" s="10"/>
      <c r="FXW62" s="10"/>
      <c r="FXX62" s="10"/>
      <c r="FXY62" s="10"/>
      <c r="FXZ62" s="10"/>
      <c r="FYA62" s="10"/>
      <c r="FYB62" s="10"/>
      <c r="FYC62" s="10"/>
      <c r="FYD62" s="10"/>
      <c r="FYE62" s="10"/>
      <c r="FYF62" s="10"/>
      <c r="FYG62" s="10"/>
      <c r="FYH62" s="10"/>
      <c r="FYI62" s="10"/>
      <c r="FYJ62" s="10"/>
      <c r="FYK62" s="10"/>
      <c r="FYL62" s="10"/>
      <c r="FYM62" s="10"/>
      <c r="FYN62" s="10"/>
      <c r="FYO62" s="10"/>
      <c r="FYP62" s="10"/>
      <c r="FYQ62" s="10"/>
      <c r="FYR62" s="10"/>
      <c r="FYS62" s="10"/>
      <c r="FYT62" s="10"/>
      <c r="FYU62" s="10"/>
      <c r="FYV62" s="10"/>
      <c r="FYW62" s="10"/>
      <c r="FYX62" s="10"/>
      <c r="FYY62" s="10"/>
      <c r="FYZ62" s="10"/>
      <c r="FZA62" s="10"/>
      <c r="FZB62" s="10"/>
      <c r="FZC62" s="10"/>
      <c r="FZD62" s="10"/>
      <c r="FZE62" s="10"/>
      <c r="FZF62" s="10"/>
      <c r="FZG62" s="10"/>
      <c r="FZH62" s="10"/>
      <c r="FZI62" s="10"/>
      <c r="FZJ62" s="10"/>
      <c r="FZK62" s="10"/>
      <c r="FZL62" s="10"/>
      <c r="FZM62" s="10"/>
      <c r="FZN62" s="10"/>
      <c r="FZO62" s="10"/>
      <c r="FZP62" s="10"/>
      <c r="FZQ62" s="10"/>
      <c r="FZR62" s="10"/>
      <c r="FZS62" s="10"/>
      <c r="FZT62" s="10"/>
      <c r="FZU62" s="10"/>
      <c r="FZV62" s="10"/>
      <c r="FZW62" s="10"/>
      <c r="FZX62" s="10"/>
      <c r="FZY62" s="10"/>
      <c r="FZZ62" s="10"/>
      <c r="GAA62" s="10"/>
      <c r="GAB62" s="10"/>
      <c r="GAC62" s="10"/>
      <c r="GAD62" s="10"/>
      <c r="GAE62" s="10"/>
      <c r="GAF62" s="10"/>
      <c r="GAG62" s="10"/>
      <c r="GAH62" s="10"/>
      <c r="GAI62" s="10"/>
      <c r="GAJ62" s="10"/>
      <c r="GAK62" s="10"/>
      <c r="GAL62" s="10"/>
      <c r="GAM62" s="10"/>
      <c r="GAN62" s="10"/>
      <c r="GAO62" s="10"/>
      <c r="GAP62" s="10"/>
      <c r="GAQ62" s="10"/>
      <c r="GAR62" s="10"/>
      <c r="GAS62" s="10"/>
      <c r="GAT62" s="10"/>
      <c r="GAU62" s="10"/>
      <c r="GAV62" s="10"/>
      <c r="GAW62" s="10"/>
      <c r="GAX62" s="10"/>
      <c r="GAY62" s="10"/>
      <c r="GAZ62" s="10"/>
      <c r="GBA62" s="10"/>
      <c r="GBB62" s="10"/>
      <c r="GBC62" s="10"/>
      <c r="GBD62" s="10"/>
      <c r="GBE62" s="10"/>
      <c r="GBF62" s="10"/>
      <c r="GBG62" s="10"/>
      <c r="GBH62" s="10"/>
      <c r="GBI62" s="10"/>
      <c r="GBJ62" s="10"/>
      <c r="GBK62" s="10"/>
      <c r="GBL62" s="10"/>
      <c r="GBM62" s="10"/>
      <c r="GBN62" s="10"/>
      <c r="GBO62" s="10"/>
      <c r="GBP62" s="10"/>
      <c r="GBQ62" s="10"/>
      <c r="GBR62" s="10"/>
      <c r="GBS62" s="10"/>
      <c r="GBT62" s="10"/>
      <c r="GBU62" s="10"/>
      <c r="GBV62" s="10"/>
      <c r="GBW62" s="10"/>
      <c r="GBX62" s="10"/>
      <c r="GBY62" s="10"/>
      <c r="GBZ62" s="10"/>
      <c r="GCA62" s="10"/>
      <c r="GCB62" s="10"/>
      <c r="GCC62" s="10"/>
      <c r="GCD62" s="10"/>
      <c r="GCE62" s="10"/>
      <c r="GCF62" s="10"/>
      <c r="GCG62" s="10"/>
      <c r="GCH62" s="10"/>
      <c r="GCI62" s="10"/>
      <c r="GCJ62" s="10"/>
      <c r="GCK62" s="10"/>
      <c r="GCL62" s="10"/>
      <c r="GCM62" s="10"/>
      <c r="GCN62" s="10"/>
      <c r="GCO62" s="10"/>
      <c r="GCP62" s="10"/>
      <c r="GCQ62" s="10"/>
      <c r="GCR62" s="10"/>
      <c r="GCS62" s="10"/>
      <c r="GCT62" s="10"/>
      <c r="GCU62" s="10"/>
      <c r="GCV62" s="10"/>
      <c r="GCW62" s="10"/>
      <c r="GCX62" s="10"/>
      <c r="GCY62" s="10"/>
      <c r="GCZ62" s="10"/>
      <c r="GDA62" s="10"/>
      <c r="GDB62" s="10"/>
      <c r="GDC62" s="10"/>
      <c r="GDD62" s="10"/>
      <c r="GDE62" s="10"/>
      <c r="GDF62" s="10"/>
      <c r="GDG62" s="10"/>
      <c r="GDH62" s="10"/>
      <c r="GDI62" s="10"/>
      <c r="GDJ62" s="10"/>
      <c r="GDK62" s="10"/>
      <c r="GDL62" s="10"/>
      <c r="GDM62" s="10"/>
      <c r="GDN62" s="10"/>
      <c r="GDO62" s="10"/>
      <c r="GDP62" s="10"/>
      <c r="GDQ62" s="10"/>
      <c r="GDR62" s="10"/>
      <c r="GDS62" s="10"/>
      <c r="GDT62" s="10"/>
      <c r="GDU62" s="10"/>
      <c r="GDV62" s="10"/>
      <c r="GDW62" s="10"/>
      <c r="GDX62" s="10"/>
      <c r="GDY62" s="10"/>
      <c r="GDZ62" s="10"/>
      <c r="GEA62" s="10"/>
      <c r="GEB62" s="10"/>
      <c r="GEC62" s="10"/>
      <c r="GED62" s="10"/>
      <c r="GEE62" s="10"/>
      <c r="GEF62" s="10"/>
      <c r="GEG62" s="10"/>
      <c r="GEH62" s="10"/>
      <c r="GEI62" s="10"/>
      <c r="GEJ62" s="10"/>
      <c r="GEK62" s="10"/>
      <c r="GEL62" s="10"/>
      <c r="GEM62" s="10"/>
      <c r="GEN62" s="10"/>
      <c r="GEO62" s="10"/>
      <c r="GEP62" s="10"/>
      <c r="GEQ62" s="10"/>
      <c r="GER62" s="10"/>
      <c r="GES62" s="10"/>
      <c r="GET62" s="10"/>
      <c r="GEU62" s="10"/>
      <c r="GEV62" s="10"/>
      <c r="GEW62" s="10"/>
      <c r="GEX62" s="10"/>
      <c r="GEY62" s="10"/>
      <c r="GEZ62" s="10"/>
      <c r="GFA62" s="10"/>
      <c r="GFB62" s="10"/>
      <c r="GFC62" s="10"/>
      <c r="GFD62" s="10"/>
      <c r="GFE62" s="10"/>
      <c r="GFF62" s="10"/>
      <c r="GFG62" s="10"/>
      <c r="GFH62" s="10"/>
      <c r="GFI62" s="10"/>
      <c r="GFJ62" s="10"/>
      <c r="GFK62" s="10"/>
      <c r="GFL62" s="10"/>
      <c r="GFM62" s="10"/>
      <c r="GFN62" s="10"/>
      <c r="GFO62" s="10"/>
      <c r="GFP62" s="10"/>
      <c r="GFQ62" s="10"/>
      <c r="GFR62" s="10"/>
      <c r="GFS62" s="10"/>
      <c r="GFT62" s="10"/>
      <c r="GFU62" s="10"/>
      <c r="GFV62" s="10"/>
      <c r="GFW62" s="10"/>
      <c r="GFX62" s="10"/>
      <c r="GFY62" s="10"/>
      <c r="GFZ62" s="10"/>
      <c r="GGA62" s="10"/>
      <c r="GGB62" s="10"/>
      <c r="GGC62" s="10"/>
      <c r="GGD62" s="10"/>
      <c r="GGE62" s="10"/>
      <c r="GGF62" s="10"/>
      <c r="GGG62" s="10"/>
      <c r="GGH62" s="10"/>
      <c r="GGI62" s="10"/>
      <c r="GGJ62" s="10"/>
      <c r="GGK62" s="10"/>
      <c r="GGL62" s="10"/>
      <c r="GGM62" s="10"/>
      <c r="GGN62" s="10"/>
      <c r="GGO62" s="10"/>
      <c r="GGP62" s="10"/>
      <c r="GGQ62" s="10"/>
      <c r="GGR62" s="10"/>
      <c r="GGS62" s="10"/>
      <c r="GGT62" s="10"/>
      <c r="GGU62" s="10"/>
      <c r="GGV62" s="10"/>
      <c r="GGW62" s="10"/>
      <c r="GGX62" s="10"/>
      <c r="GGY62" s="10"/>
      <c r="GGZ62" s="10"/>
      <c r="GHA62" s="10"/>
      <c r="GHB62" s="10"/>
      <c r="GHC62" s="10"/>
      <c r="GHD62" s="10"/>
      <c r="GHE62" s="10"/>
      <c r="GHF62" s="10"/>
      <c r="GHG62" s="10"/>
      <c r="GHH62" s="10"/>
      <c r="GHI62" s="10"/>
      <c r="GHJ62" s="10"/>
      <c r="GHK62" s="10"/>
      <c r="GHL62" s="10"/>
      <c r="GHM62" s="10"/>
      <c r="GHN62" s="10"/>
      <c r="GHO62" s="10"/>
      <c r="GHP62" s="10"/>
      <c r="GHQ62" s="10"/>
      <c r="GHR62" s="10"/>
      <c r="GHS62" s="10"/>
      <c r="GHT62" s="10"/>
      <c r="GHU62" s="10"/>
      <c r="GHV62" s="10"/>
      <c r="GHW62" s="10"/>
      <c r="GHX62" s="10"/>
      <c r="GHY62" s="10"/>
      <c r="GHZ62" s="10"/>
      <c r="GIA62" s="10"/>
      <c r="GIB62" s="10"/>
      <c r="GIC62" s="10"/>
      <c r="GID62" s="10"/>
      <c r="GIE62" s="10"/>
      <c r="GIF62" s="10"/>
      <c r="GIG62" s="10"/>
      <c r="GIH62" s="10"/>
      <c r="GII62" s="10"/>
      <c r="GIJ62" s="10"/>
      <c r="GIK62" s="10"/>
      <c r="GIL62" s="10"/>
      <c r="GIM62" s="10"/>
      <c r="GIN62" s="10"/>
      <c r="GIO62" s="10"/>
      <c r="GIP62" s="10"/>
      <c r="GIQ62" s="10"/>
      <c r="GIR62" s="10"/>
      <c r="GIS62" s="10"/>
      <c r="GIT62" s="10"/>
      <c r="GIU62" s="10"/>
      <c r="GIV62" s="10"/>
      <c r="GIW62" s="10"/>
      <c r="GIX62" s="10"/>
      <c r="GIY62" s="10"/>
      <c r="GIZ62" s="10"/>
      <c r="GJA62" s="10"/>
      <c r="GJB62" s="10"/>
      <c r="GJC62" s="10"/>
      <c r="GJD62" s="10"/>
      <c r="GJE62" s="10"/>
      <c r="GJF62" s="10"/>
      <c r="GJG62" s="10"/>
      <c r="GJH62" s="10"/>
      <c r="GJI62" s="10"/>
      <c r="GJJ62" s="10"/>
      <c r="GJK62" s="10"/>
      <c r="GJL62" s="10"/>
      <c r="GJM62" s="10"/>
      <c r="GJN62" s="10"/>
      <c r="GJO62" s="10"/>
      <c r="GJP62" s="10"/>
      <c r="GJQ62" s="10"/>
      <c r="GJR62" s="10"/>
      <c r="GJS62" s="10"/>
      <c r="GJT62" s="10"/>
      <c r="GJU62" s="10"/>
      <c r="GJV62" s="10"/>
      <c r="GJW62" s="10"/>
      <c r="GJX62" s="10"/>
      <c r="GJY62" s="10"/>
      <c r="GJZ62" s="10"/>
      <c r="GKA62" s="10"/>
      <c r="GKB62" s="10"/>
      <c r="GKC62" s="10"/>
      <c r="GKD62" s="10"/>
      <c r="GKE62" s="10"/>
      <c r="GKF62" s="10"/>
      <c r="GKG62" s="10"/>
      <c r="GKH62" s="10"/>
      <c r="GKI62" s="10"/>
      <c r="GKJ62" s="10"/>
      <c r="GKK62" s="10"/>
      <c r="GKL62" s="10"/>
      <c r="GKM62" s="10"/>
      <c r="GKN62" s="10"/>
      <c r="GKO62" s="10"/>
      <c r="GKP62" s="10"/>
      <c r="GKQ62" s="10"/>
      <c r="GKR62" s="10"/>
      <c r="GKS62" s="10"/>
      <c r="GKT62" s="10"/>
      <c r="GKU62" s="10"/>
      <c r="GKV62" s="10"/>
      <c r="GKW62" s="10"/>
      <c r="GKX62" s="10"/>
      <c r="GKY62" s="10"/>
      <c r="GKZ62" s="10"/>
      <c r="GLA62" s="10"/>
      <c r="GLB62" s="10"/>
      <c r="GLC62" s="10"/>
      <c r="GLD62" s="10"/>
      <c r="GLE62" s="10"/>
      <c r="GLF62" s="10"/>
      <c r="GLG62" s="10"/>
      <c r="GLH62" s="10"/>
      <c r="GLI62" s="10"/>
      <c r="GLJ62" s="10"/>
      <c r="GLK62" s="10"/>
      <c r="GLL62" s="10"/>
      <c r="GLM62" s="10"/>
      <c r="GLN62" s="10"/>
      <c r="GLO62" s="10"/>
      <c r="GLP62" s="10"/>
      <c r="GLQ62" s="10"/>
      <c r="GLR62" s="10"/>
      <c r="GLS62" s="10"/>
      <c r="GLT62" s="10"/>
      <c r="GLU62" s="10"/>
      <c r="GLV62" s="10"/>
      <c r="GLW62" s="10"/>
      <c r="GLX62" s="10"/>
      <c r="GLY62" s="10"/>
      <c r="GLZ62" s="10"/>
      <c r="GMA62" s="10"/>
      <c r="GMB62" s="10"/>
      <c r="GMC62" s="10"/>
      <c r="GMD62" s="10"/>
      <c r="GME62" s="10"/>
      <c r="GMF62" s="10"/>
      <c r="GMG62" s="10"/>
      <c r="GMH62" s="10"/>
      <c r="GMI62" s="10"/>
      <c r="GMJ62" s="10"/>
      <c r="GMK62" s="10"/>
      <c r="GML62" s="10"/>
      <c r="GMM62" s="10"/>
      <c r="GMN62" s="10"/>
      <c r="GMO62" s="10"/>
      <c r="GMP62" s="10"/>
      <c r="GMQ62" s="10"/>
      <c r="GMR62" s="10"/>
      <c r="GMS62" s="10"/>
      <c r="GMT62" s="10"/>
      <c r="GMU62" s="10"/>
      <c r="GMV62" s="10"/>
      <c r="GMW62" s="10"/>
      <c r="GMX62" s="10"/>
      <c r="GMY62" s="10"/>
      <c r="GMZ62" s="10"/>
      <c r="GNA62" s="10"/>
      <c r="GNB62" s="10"/>
      <c r="GNC62" s="10"/>
      <c r="GND62" s="10"/>
      <c r="GNE62" s="10"/>
      <c r="GNF62" s="10"/>
      <c r="GNG62" s="10"/>
      <c r="GNH62" s="10"/>
      <c r="GNI62" s="10"/>
      <c r="GNJ62" s="10"/>
      <c r="GNK62" s="10"/>
      <c r="GNL62" s="10"/>
      <c r="GNM62" s="10"/>
      <c r="GNN62" s="10"/>
      <c r="GNO62" s="10"/>
      <c r="GNP62" s="10"/>
      <c r="GNQ62" s="10"/>
      <c r="GNR62" s="10"/>
      <c r="GNS62" s="10"/>
      <c r="GNT62" s="10"/>
      <c r="GNU62" s="10"/>
      <c r="GNV62" s="10"/>
      <c r="GNW62" s="10"/>
      <c r="GNX62" s="10"/>
      <c r="GNY62" s="10"/>
      <c r="GNZ62" s="10"/>
      <c r="GOA62" s="10"/>
      <c r="GOB62" s="10"/>
      <c r="GOC62" s="10"/>
      <c r="GOD62" s="10"/>
      <c r="GOE62" s="10"/>
      <c r="GOF62" s="10"/>
      <c r="GOG62" s="10"/>
      <c r="GOH62" s="10"/>
      <c r="GOI62" s="10"/>
      <c r="GOJ62" s="10"/>
      <c r="GOK62" s="10"/>
      <c r="GOL62" s="10"/>
      <c r="GOM62" s="10"/>
      <c r="GON62" s="10"/>
      <c r="GOO62" s="10"/>
      <c r="GOP62" s="10"/>
      <c r="GOQ62" s="10"/>
      <c r="GOR62" s="10"/>
      <c r="GOS62" s="10"/>
      <c r="GOT62" s="10"/>
      <c r="GOU62" s="10"/>
      <c r="GOV62" s="10"/>
      <c r="GOW62" s="10"/>
      <c r="GOX62" s="10"/>
      <c r="GOY62" s="10"/>
      <c r="GOZ62" s="10"/>
      <c r="GPA62" s="10"/>
      <c r="GPB62" s="10"/>
      <c r="GPC62" s="10"/>
      <c r="GPD62" s="10"/>
      <c r="GPE62" s="10"/>
      <c r="GPF62" s="10"/>
      <c r="GPG62" s="10"/>
      <c r="GPH62" s="10"/>
      <c r="GPI62" s="10"/>
      <c r="GPJ62" s="10"/>
      <c r="GPK62" s="10"/>
      <c r="GPL62" s="10"/>
      <c r="GPM62" s="10"/>
      <c r="GPN62" s="10"/>
      <c r="GPO62" s="10"/>
      <c r="GPP62" s="10"/>
      <c r="GPQ62" s="10"/>
      <c r="GPR62" s="10"/>
      <c r="GPS62" s="10"/>
      <c r="GPT62" s="10"/>
      <c r="GPU62" s="10"/>
      <c r="GPV62" s="10"/>
      <c r="GPW62" s="10"/>
      <c r="GPX62" s="10"/>
      <c r="GPY62" s="10"/>
      <c r="GPZ62" s="10"/>
      <c r="GQA62" s="10"/>
      <c r="GQB62" s="10"/>
      <c r="GQC62" s="10"/>
      <c r="GQD62" s="10"/>
      <c r="GQE62" s="10"/>
      <c r="GQF62" s="10"/>
      <c r="GQG62" s="10"/>
      <c r="GQH62" s="10"/>
      <c r="GQI62" s="10"/>
      <c r="GQJ62" s="10"/>
      <c r="GQK62" s="10"/>
      <c r="GQL62" s="10"/>
      <c r="GQM62" s="10"/>
      <c r="GQN62" s="10"/>
      <c r="GQO62" s="10"/>
      <c r="GQP62" s="10"/>
      <c r="GQQ62" s="10"/>
      <c r="GQR62" s="10"/>
      <c r="GQS62" s="10"/>
      <c r="GQT62" s="10"/>
      <c r="GQU62" s="10"/>
      <c r="GQV62" s="10"/>
      <c r="GQW62" s="10"/>
      <c r="GQX62" s="10"/>
      <c r="GQY62" s="10"/>
      <c r="GQZ62" s="10"/>
      <c r="GRA62" s="10"/>
      <c r="GRB62" s="10"/>
      <c r="GRC62" s="10"/>
      <c r="GRD62" s="10"/>
      <c r="GRE62" s="10"/>
      <c r="GRF62" s="10"/>
      <c r="GRG62" s="10"/>
      <c r="GRH62" s="10"/>
      <c r="GRI62" s="10"/>
      <c r="GRJ62" s="10"/>
      <c r="GRK62" s="10"/>
      <c r="GRL62" s="10"/>
      <c r="GRM62" s="10"/>
      <c r="GRN62" s="10"/>
      <c r="GRO62" s="10"/>
      <c r="GRP62" s="10"/>
      <c r="GRQ62" s="10"/>
      <c r="GRR62" s="10"/>
      <c r="GRS62" s="10"/>
      <c r="GRT62" s="10"/>
      <c r="GRU62" s="10"/>
      <c r="GRV62" s="10"/>
      <c r="GRW62" s="10"/>
      <c r="GRX62" s="10"/>
      <c r="GRY62" s="10"/>
      <c r="GRZ62" s="10"/>
      <c r="GSA62" s="10"/>
      <c r="GSB62" s="10"/>
      <c r="GSC62" s="10"/>
      <c r="GSD62" s="10"/>
      <c r="GSE62" s="10"/>
      <c r="GSF62" s="10"/>
      <c r="GSG62" s="10"/>
      <c r="GSH62" s="10"/>
      <c r="GSI62" s="10"/>
      <c r="GSJ62" s="10"/>
      <c r="GSK62" s="10"/>
      <c r="GSL62" s="10"/>
      <c r="GSM62" s="10"/>
      <c r="GSN62" s="10"/>
      <c r="GSO62" s="10"/>
      <c r="GSP62" s="10"/>
      <c r="GSQ62" s="10"/>
      <c r="GSR62" s="10"/>
      <c r="GSS62" s="10"/>
      <c r="GST62" s="10"/>
      <c r="GSU62" s="10"/>
      <c r="GSV62" s="10"/>
      <c r="GSW62" s="10"/>
      <c r="GSX62" s="10"/>
      <c r="GSY62" s="10"/>
      <c r="GSZ62" s="10"/>
      <c r="GTA62" s="10"/>
      <c r="GTB62" s="10"/>
      <c r="GTC62" s="10"/>
      <c r="GTD62" s="10"/>
      <c r="GTE62" s="10"/>
      <c r="GTF62" s="10"/>
      <c r="GTG62" s="10"/>
      <c r="GTH62" s="10"/>
      <c r="GTI62" s="10"/>
      <c r="GTJ62" s="10"/>
      <c r="GTK62" s="10"/>
      <c r="GTL62" s="10"/>
      <c r="GTM62" s="10"/>
      <c r="GTN62" s="10"/>
      <c r="GTO62" s="10"/>
      <c r="GTP62" s="10"/>
      <c r="GTQ62" s="10"/>
      <c r="GTR62" s="10"/>
      <c r="GTS62" s="10"/>
      <c r="GTT62" s="10"/>
      <c r="GTU62" s="10"/>
      <c r="GTV62" s="10"/>
      <c r="GTW62" s="10"/>
      <c r="GTX62" s="10"/>
      <c r="GTY62" s="10"/>
      <c r="GTZ62" s="10"/>
      <c r="GUA62" s="10"/>
      <c r="GUB62" s="10"/>
      <c r="GUC62" s="10"/>
      <c r="GUD62" s="10"/>
      <c r="GUE62" s="10"/>
      <c r="GUF62" s="10"/>
      <c r="GUG62" s="10"/>
      <c r="GUH62" s="10"/>
      <c r="GUI62" s="10"/>
      <c r="GUJ62" s="10"/>
      <c r="GUK62" s="10"/>
      <c r="GUL62" s="10"/>
      <c r="GUM62" s="10"/>
      <c r="GUN62" s="10"/>
      <c r="GUO62" s="10"/>
      <c r="GUP62" s="10"/>
      <c r="GUQ62" s="10"/>
      <c r="GUR62" s="10"/>
      <c r="GUS62" s="10"/>
      <c r="GUT62" s="10"/>
      <c r="GUU62" s="10"/>
      <c r="GUV62" s="10"/>
      <c r="GUW62" s="10"/>
      <c r="GUX62" s="10"/>
      <c r="GUY62" s="10"/>
      <c r="GUZ62" s="10"/>
      <c r="GVA62" s="10"/>
      <c r="GVB62" s="10"/>
      <c r="GVC62" s="10"/>
      <c r="GVD62" s="10"/>
      <c r="GVE62" s="10"/>
      <c r="GVF62" s="10"/>
      <c r="GVG62" s="10"/>
      <c r="GVH62" s="10"/>
      <c r="GVI62" s="10"/>
      <c r="GVJ62" s="10"/>
      <c r="GVK62" s="10"/>
      <c r="GVL62" s="10"/>
      <c r="GVM62" s="10"/>
      <c r="GVN62" s="10"/>
      <c r="GVO62" s="10"/>
      <c r="GVP62" s="10"/>
      <c r="GVQ62" s="10"/>
      <c r="GVR62" s="10"/>
      <c r="GVS62" s="10"/>
      <c r="GVT62" s="10"/>
      <c r="GVU62" s="10"/>
      <c r="GVV62" s="10"/>
      <c r="GVW62" s="10"/>
      <c r="GVX62" s="10"/>
      <c r="GVY62" s="10"/>
      <c r="GVZ62" s="10"/>
      <c r="GWA62" s="10"/>
      <c r="GWB62" s="10"/>
      <c r="GWC62" s="10"/>
      <c r="GWD62" s="10"/>
      <c r="GWE62" s="10"/>
      <c r="GWF62" s="10"/>
      <c r="GWG62" s="10"/>
      <c r="GWH62" s="10"/>
      <c r="GWI62" s="10"/>
      <c r="GWJ62" s="10"/>
      <c r="GWK62" s="10"/>
      <c r="GWL62" s="10"/>
      <c r="GWM62" s="10"/>
      <c r="GWN62" s="10"/>
      <c r="GWO62" s="10"/>
      <c r="GWP62" s="10"/>
      <c r="GWQ62" s="10"/>
      <c r="GWR62" s="10"/>
      <c r="GWS62" s="10"/>
      <c r="GWT62" s="10"/>
      <c r="GWU62" s="10"/>
      <c r="GWV62" s="10"/>
      <c r="GWW62" s="10"/>
      <c r="GWX62" s="10"/>
      <c r="GWY62" s="10"/>
      <c r="GWZ62" s="10"/>
      <c r="GXA62" s="10"/>
      <c r="GXB62" s="10"/>
      <c r="GXC62" s="10"/>
      <c r="GXD62" s="10"/>
      <c r="GXE62" s="10"/>
      <c r="GXF62" s="10"/>
      <c r="GXG62" s="10"/>
      <c r="GXH62" s="10"/>
      <c r="GXI62" s="10"/>
      <c r="GXJ62" s="10"/>
      <c r="GXK62" s="10"/>
      <c r="GXL62" s="10"/>
      <c r="GXM62" s="10"/>
      <c r="GXN62" s="10"/>
      <c r="GXO62" s="10"/>
      <c r="GXP62" s="10"/>
      <c r="GXQ62" s="10"/>
      <c r="GXR62" s="10"/>
      <c r="GXS62" s="10"/>
      <c r="GXT62" s="10"/>
      <c r="GXU62" s="10"/>
      <c r="GXV62" s="10"/>
      <c r="GXW62" s="10"/>
      <c r="GXX62" s="10"/>
      <c r="GXY62" s="10"/>
      <c r="GXZ62" s="10"/>
      <c r="GYA62" s="10"/>
      <c r="GYB62" s="10"/>
      <c r="GYC62" s="10"/>
      <c r="GYD62" s="10"/>
      <c r="GYE62" s="10"/>
      <c r="GYF62" s="10"/>
      <c r="GYG62" s="10"/>
      <c r="GYH62" s="10"/>
      <c r="GYI62" s="10"/>
      <c r="GYJ62" s="10"/>
      <c r="GYK62" s="10"/>
      <c r="GYL62" s="10"/>
      <c r="GYM62" s="10"/>
      <c r="GYN62" s="10"/>
      <c r="GYO62" s="10"/>
      <c r="GYP62" s="10"/>
      <c r="GYQ62" s="10"/>
      <c r="GYR62" s="10"/>
      <c r="GYS62" s="10"/>
      <c r="GYT62" s="10"/>
      <c r="GYU62" s="10"/>
      <c r="GYV62" s="10"/>
      <c r="GYW62" s="10"/>
      <c r="GYX62" s="10"/>
      <c r="GYY62" s="10"/>
      <c r="GYZ62" s="10"/>
      <c r="GZA62" s="10"/>
      <c r="GZB62" s="10"/>
      <c r="GZC62" s="10"/>
      <c r="GZD62" s="10"/>
      <c r="GZE62" s="10"/>
      <c r="GZF62" s="10"/>
      <c r="GZG62" s="10"/>
      <c r="GZH62" s="10"/>
      <c r="GZI62" s="10"/>
      <c r="GZJ62" s="10"/>
      <c r="GZK62" s="10"/>
      <c r="GZL62" s="10"/>
      <c r="GZM62" s="10"/>
      <c r="GZN62" s="10"/>
      <c r="GZO62" s="10"/>
      <c r="GZP62" s="10"/>
      <c r="GZQ62" s="10"/>
      <c r="GZR62" s="10"/>
      <c r="GZS62" s="10"/>
      <c r="GZT62" s="10"/>
      <c r="GZU62" s="10"/>
      <c r="GZV62" s="10"/>
      <c r="GZW62" s="10"/>
      <c r="GZX62" s="10"/>
      <c r="GZY62" s="10"/>
      <c r="GZZ62" s="10"/>
      <c r="HAA62" s="10"/>
      <c r="HAB62" s="10"/>
      <c r="HAC62" s="10"/>
      <c r="HAD62" s="10"/>
      <c r="HAE62" s="10"/>
      <c r="HAF62" s="10"/>
      <c r="HAG62" s="10"/>
      <c r="HAH62" s="10"/>
      <c r="HAI62" s="10"/>
      <c r="HAJ62" s="10"/>
      <c r="HAK62" s="10"/>
      <c r="HAL62" s="10"/>
      <c r="HAM62" s="10"/>
      <c r="HAN62" s="10"/>
      <c r="HAO62" s="10"/>
      <c r="HAP62" s="10"/>
      <c r="HAQ62" s="10"/>
      <c r="HAR62" s="10"/>
      <c r="HAS62" s="10"/>
      <c r="HAT62" s="10"/>
      <c r="HAU62" s="10"/>
      <c r="HAV62" s="10"/>
      <c r="HAW62" s="10"/>
      <c r="HAX62" s="10"/>
      <c r="HAY62" s="10"/>
      <c r="HAZ62" s="10"/>
      <c r="HBA62" s="10"/>
      <c r="HBB62" s="10"/>
      <c r="HBC62" s="10"/>
      <c r="HBD62" s="10"/>
      <c r="HBE62" s="10"/>
      <c r="HBF62" s="10"/>
      <c r="HBG62" s="10"/>
      <c r="HBH62" s="10"/>
      <c r="HBI62" s="10"/>
      <c r="HBJ62" s="10"/>
      <c r="HBK62" s="10"/>
      <c r="HBL62" s="10"/>
      <c r="HBM62" s="10"/>
      <c r="HBN62" s="10"/>
      <c r="HBO62" s="10"/>
      <c r="HBP62" s="10"/>
      <c r="HBQ62" s="10"/>
      <c r="HBR62" s="10"/>
      <c r="HBS62" s="10"/>
      <c r="HBT62" s="10"/>
      <c r="HBU62" s="10"/>
      <c r="HBV62" s="10"/>
      <c r="HBW62" s="10"/>
      <c r="HBX62" s="10"/>
      <c r="HBY62" s="10"/>
      <c r="HBZ62" s="10"/>
      <c r="HCA62" s="10"/>
      <c r="HCB62" s="10"/>
      <c r="HCC62" s="10"/>
      <c r="HCD62" s="10"/>
      <c r="HCE62" s="10"/>
      <c r="HCF62" s="10"/>
      <c r="HCG62" s="10"/>
      <c r="HCH62" s="10"/>
      <c r="HCI62" s="10"/>
      <c r="HCJ62" s="10"/>
      <c r="HCK62" s="10"/>
      <c r="HCL62" s="10"/>
      <c r="HCM62" s="10"/>
      <c r="HCN62" s="10"/>
      <c r="HCO62" s="10"/>
      <c r="HCP62" s="10"/>
      <c r="HCQ62" s="10"/>
      <c r="HCR62" s="10"/>
      <c r="HCS62" s="10"/>
      <c r="HCT62" s="10"/>
      <c r="HCU62" s="10"/>
      <c r="HCV62" s="10"/>
      <c r="HCW62" s="10"/>
      <c r="HCX62" s="10"/>
      <c r="HCY62" s="10"/>
      <c r="HCZ62" s="10"/>
      <c r="HDA62" s="10"/>
      <c r="HDB62" s="10"/>
      <c r="HDC62" s="10"/>
      <c r="HDD62" s="10"/>
      <c r="HDE62" s="10"/>
      <c r="HDF62" s="10"/>
      <c r="HDG62" s="10"/>
      <c r="HDH62" s="10"/>
      <c r="HDI62" s="10"/>
      <c r="HDJ62" s="10"/>
      <c r="HDK62" s="10"/>
      <c r="HDL62" s="10"/>
      <c r="HDM62" s="10"/>
      <c r="HDN62" s="10"/>
      <c r="HDO62" s="10"/>
      <c r="HDP62" s="10"/>
      <c r="HDQ62" s="10"/>
      <c r="HDR62" s="10"/>
      <c r="HDS62" s="10"/>
      <c r="HDT62" s="10"/>
      <c r="HDU62" s="10"/>
      <c r="HDV62" s="10"/>
      <c r="HDW62" s="10"/>
      <c r="HDX62" s="10"/>
      <c r="HDY62" s="10"/>
      <c r="HDZ62" s="10"/>
      <c r="HEA62" s="10"/>
      <c r="HEB62" s="10"/>
      <c r="HEC62" s="10"/>
      <c r="HED62" s="10"/>
      <c r="HEE62" s="10"/>
      <c r="HEF62" s="10"/>
      <c r="HEG62" s="10"/>
      <c r="HEH62" s="10"/>
      <c r="HEI62" s="10"/>
      <c r="HEJ62" s="10"/>
      <c r="HEK62" s="10"/>
      <c r="HEL62" s="10"/>
      <c r="HEM62" s="10"/>
      <c r="HEN62" s="10"/>
      <c r="HEO62" s="10"/>
      <c r="HEP62" s="10"/>
      <c r="HEQ62" s="10"/>
      <c r="HER62" s="10"/>
      <c r="HES62" s="10"/>
      <c r="HET62" s="10"/>
      <c r="HEU62" s="10"/>
      <c r="HEV62" s="10"/>
      <c r="HEW62" s="10"/>
      <c r="HEX62" s="10"/>
      <c r="HEY62" s="10"/>
      <c r="HEZ62" s="10"/>
      <c r="HFA62" s="10"/>
      <c r="HFB62" s="10"/>
      <c r="HFC62" s="10"/>
      <c r="HFD62" s="10"/>
      <c r="HFE62" s="10"/>
      <c r="HFF62" s="10"/>
      <c r="HFG62" s="10"/>
      <c r="HFH62" s="10"/>
      <c r="HFI62" s="10"/>
      <c r="HFJ62" s="10"/>
      <c r="HFK62" s="10"/>
      <c r="HFL62" s="10"/>
      <c r="HFM62" s="10"/>
      <c r="HFN62" s="10"/>
      <c r="HFO62" s="10"/>
      <c r="HFP62" s="10"/>
      <c r="HFQ62" s="10"/>
      <c r="HFR62" s="10"/>
      <c r="HFS62" s="10"/>
      <c r="HFT62" s="10"/>
      <c r="HFU62" s="10"/>
      <c r="HFV62" s="10"/>
      <c r="HFW62" s="10"/>
      <c r="HFX62" s="10"/>
      <c r="HFY62" s="10"/>
      <c r="HFZ62" s="10"/>
      <c r="HGA62" s="10"/>
      <c r="HGB62" s="10"/>
      <c r="HGC62" s="10"/>
      <c r="HGD62" s="10"/>
      <c r="HGE62" s="10"/>
      <c r="HGF62" s="10"/>
      <c r="HGG62" s="10"/>
      <c r="HGH62" s="10"/>
      <c r="HGI62" s="10"/>
      <c r="HGJ62" s="10"/>
      <c r="HGK62" s="10"/>
      <c r="HGL62" s="10"/>
      <c r="HGM62" s="10"/>
      <c r="HGN62" s="10"/>
      <c r="HGO62" s="10"/>
      <c r="HGP62" s="10"/>
      <c r="HGQ62" s="10"/>
      <c r="HGR62" s="10"/>
      <c r="HGS62" s="10"/>
      <c r="HGT62" s="10"/>
      <c r="HGU62" s="10"/>
      <c r="HGV62" s="10"/>
      <c r="HGW62" s="10"/>
      <c r="HGX62" s="10"/>
      <c r="HGY62" s="10"/>
      <c r="HGZ62" s="10"/>
      <c r="HHA62" s="10"/>
      <c r="HHB62" s="10"/>
      <c r="HHC62" s="10"/>
      <c r="HHD62" s="10"/>
      <c r="HHE62" s="10"/>
      <c r="HHF62" s="10"/>
      <c r="HHG62" s="10"/>
      <c r="HHH62" s="10"/>
      <c r="HHI62" s="10"/>
      <c r="HHJ62" s="10"/>
      <c r="HHK62" s="10"/>
      <c r="HHL62" s="10"/>
      <c r="HHM62" s="10"/>
      <c r="HHN62" s="10"/>
      <c r="HHO62" s="10"/>
      <c r="HHP62" s="10"/>
      <c r="HHQ62" s="10"/>
      <c r="HHR62" s="10"/>
      <c r="HHS62" s="10"/>
      <c r="HHT62" s="10"/>
      <c r="HHU62" s="10"/>
      <c r="HHV62" s="10"/>
      <c r="HHW62" s="10"/>
      <c r="HHX62" s="10"/>
      <c r="HHY62" s="10"/>
      <c r="HHZ62" s="10"/>
      <c r="HIA62" s="10"/>
      <c r="HIB62" s="10"/>
      <c r="HIC62" s="10"/>
      <c r="HID62" s="10"/>
      <c r="HIE62" s="10"/>
      <c r="HIF62" s="10"/>
      <c r="HIG62" s="10"/>
      <c r="HIH62" s="10"/>
      <c r="HII62" s="10"/>
      <c r="HIJ62" s="10"/>
      <c r="HIK62" s="10"/>
      <c r="HIL62" s="10"/>
      <c r="HIM62" s="10"/>
      <c r="HIN62" s="10"/>
      <c r="HIO62" s="10"/>
      <c r="HIP62" s="10"/>
      <c r="HIQ62" s="10"/>
      <c r="HIR62" s="10"/>
      <c r="HIS62" s="10"/>
      <c r="HIT62" s="10"/>
      <c r="HIU62" s="10"/>
      <c r="HIV62" s="10"/>
      <c r="HIW62" s="10"/>
      <c r="HIX62" s="10"/>
      <c r="HIY62" s="10"/>
      <c r="HIZ62" s="10"/>
      <c r="HJA62" s="10"/>
      <c r="HJB62" s="10"/>
      <c r="HJC62" s="10"/>
      <c r="HJD62" s="10"/>
      <c r="HJE62" s="10"/>
      <c r="HJF62" s="10"/>
      <c r="HJG62" s="10"/>
      <c r="HJH62" s="10"/>
      <c r="HJI62" s="10"/>
      <c r="HJJ62" s="10"/>
      <c r="HJK62" s="10"/>
      <c r="HJL62" s="10"/>
      <c r="HJM62" s="10"/>
      <c r="HJN62" s="10"/>
      <c r="HJO62" s="10"/>
      <c r="HJP62" s="10"/>
      <c r="HJQ62" s="10"/>
      <c r="HJR62" s="10"/>
      <c r="HJS62" s="10"/>
      <c r="HJT62" s="10"/>
      <c r="HJU62" s="10"/>
      <c r="HJV62" s="10"/>
      <c r="HJW62" s="10"/>
      <c r="HJX62" s="10"/>
      <c r="HJY62" s="10"/>
      <c r="HJZ62" s="10"/>
      <c r="HKA62" s="10"/>
      <c r="HKB62" s="10"/>
      <c r="HKC62" s="10"/>
      <c r="HKD62" s="10"/>
      <c r="HKE62" s="10"/>
      <c r="HKF62" s="10"/>
      <c r="HKG62" s="10"/>
      <c r="HKH62" s="10"/>
      <c r="HKI62" s="10"/>
      <c r="HKJ62" s="10"/>
      <c r="HKK62" s="10"/>
      <c r="HKL62" s="10"/>
      <c r="HKM62" s="10"/>
      <c r="HKN62" s="10"/>
      <c r="HKO62" s="10"/>
      <c r="HKP62" s="10"/>
      <c r="HKQ62" s="10"/>
      <c r="HKR62" s="10"/>
      <c r="HKS62" s="10"/>
      <c r="HKT62" s="10"/>
      <c r="HKU62" s="10"/>
      <c r="HKV62" s="10"/>
      <c r="HKW62" s="10"/>
      <c r="HKX62" s="10"/>
      <c r="HKY62" s="10"/>
      <c r="HKZ62" s="10"/>
      <c r="HLA62" s="10"/>
      <c r="HLB62" s="10"/>
      <c r="HLC62" s="10"/>
      <c r="HLD62" s="10"/>
      <c r="HLE62" s="10"/>
      <c r="HLF62" s="10"/>
      <c r="HLG62" s="10"/>
      <c r="HLH62" s="10"/>
      <c r="HLI62" s="10"/>
      <c r="HLJ62" s="10"/>
      <c r="HLK62" s="10"/>
      <c r="HLL62" s="10"/>
      <c r="HLM62" s="10"/>
      <c r="HLN62" s="10"/>
      <c r="HLO62" s="10"/>
      <c r="HLP62" s="10"/>
      <c r="HLQ62" s="10"/>
      <c r="HLR62" s="10"/>
      <c r="HLS62" s="10"/>
      <c r="HLT62" s="10"/>
      <c r="HLU62" s="10"/>
      <c r="HLV62" s="10"/>
      <c r="HLW62" s="10"/>
      <c r="HLX62" s="10"/>
      <c r="HLY62" s="10"/>
      <c r="HLZ62" s="10"/>
      <c r="HMA62" s="10"/>
      <c r="HMB62" s="10"/>
      <c r="HMC62" s="10"/>
      <c r="HMD62" s="10"/>
      <c r="HME62" s="10"/>
      <c r="HMF62" s="10"/>
      <c r="HMG62" s="10"/>
      <c r="HMH62" s="10"/>
      <c r="HMI62" s="10"/>
      <c r="HMJ62" s="10"/>
      <c r="HMK62" s="10"/>
      <c r="HML62" s="10"/>
      <c r="HMM62" s="10"/>
      <c r="HMN62" s="10"/>
      <c r="HMO62" s="10"/>
      <c r="HMP62" s="10"/>
      <c r="HMQ62" s="10"/>
      <c r="HMR62" s="10"/>
      <c r="HMS62" s="10"/>
      <c r="HMT62" s="10"/>
      <c r="HMU62" s="10"/>
      <c r="HMV62" s="10"/>
      <c r="HMW62" s="10"/>
      <c r="HMX62" s="10"/>
      <c r="HMY62" s="10"/>
      <c r="HMZ62" s="10"/>
      <c r="HNA62" s="10"/>
      <c r="HNB62" s="10"/>
      <c r="HNC62" s="10"/>
      <c r="HND62" s="10"/>
      <c r="HNE62" s="10"/>
      <c r="HNF62" s="10"/>
      <c r="HNG62" s="10"/>
      <c r="HNH62" s="10"/>
      <c r="HNI62" s="10"/>
      <c r="HNJ62" s="10"/>
      <c r="HNK62" s="10"/>
      <c r="HNL62" s="10"/>
      <c r="HNM62" s="10"/>
      <c r="HNN62" s="10"/>
      <c r="HNO62" s="10"/>
      <c r="HNP62" s="10"/>
      <c r="HNQ62" s="10"/>
      <c r="HNR62" s="10"/>
      <c r="HNS62" s="10"/>
      <c r="HNT62" s="10"/>
      <c r="HNU62" s="10"/>
      <c r="HNV62" s="10"/>
      <c r="HNW62" s="10"/>
      <c r="HNX62" s="10"/>
      <c r="HNY62" s="10"/>
      <c r="HNZ62" s="10"/>
      <c r="HOA62" s="10"/>
      <c r="HOB62" s="10"/>
      <c r="HOC62" s="10"/>
      <c r="HOD62" s="10"/>
      <c r="HOE62" s="10"/>
      <c r="HOF62" s="10"/>
      <c r="HOG62" s="10"/>
      <c r="HOH62" s="10"/>
      <c r="HOI62" s="10"/>
      <c r="HOJ62" s="10"/>
      <c r="HOK62" s="10"/>
      <c r="HOL62" s="10"/>
      <c r="HOM62" s="10"/>
      <c r="HON62" s="10"/>
      <c r="HOO62" s="10"/>
      <c r="HOP62" s="10"/>
      <c r="HOQ62" s="10"/>
      <c r="HOR62" s="10"/>
      <c r="HOS62" s="10"/>
      <c r="HOT62" s="10"/>
      <c r="HOU62" s="10"/>
      <c r="HOV62" s="10"/>
      <c r="HOW62" s="10"/>
      <c r="HOX62" s="10"/>
      <c r="HOY62" s="10"/>
      <c r="HOZ62" s="10"/>
      <c r="HPA62" s="10"/>
      <c r="HPB62" s="10"/>
      <c r="HPC62" s="10"/>
      <c r="HPD62" s="10"/>
      <c r="HPE62" s="10"/>
      <c r="HPF62" s="10"/>
      <c r="HPG62" s="10"/>
      <c r="HPH62" s="10"/>
      <c r="HPI62" s="10"/>
      <c r="HPJ62" s="10"/>
      <c r="HPK62" s="10"/>
      <c r="HPL62" s="10"/>
      <c r="HPM62" s="10"/>
      <c r="HPN62" s="10"/>
      <c r="HPO62" s="10"/>
      <c r="HPP62" s="10"/>
      <c r="HPQ62" s="10"/>
      <c r="HPR62" s="10"/>
      <c r="HPS62" s="10"/>
      <c r="HPT62" s="10"/>
      <c r="HPU62" s="10"/>
      <c r="HPV62" s="10"/>
      <c r="HPW62" s="10"/>
      <c r="HPX62" s="10"/>
      <c r="HPY62" s="10"/>
      <c r="HPZ62" s="10"/>
      <c r="HQA62" s="10"/>
      <c r="HQB62" s="10"/>
      <c r="HQC62" s="10"/>
      <c r="HQD62" s="10"/>
      <c r="HQE62" s="10"/>
      <c r="HQF62" s="10"/>
      <c r="HQG62" s="10"/>
      <c r="HQH62" s="10"/>
      <c r="HQI62" s="10"/>
      <c r="HQJ62" s="10"/>
      <c r="HQK62" s="10"/>
      <c r="HQL62" s="10"/>
      <c r="HQM62" s="10"/>
      <c r="HQN62" s="10"/>
      <c r="HQO62" s="10"/>
      <c r="HQP62" s="10"/>
      <c r="HQQ62" s="10"/>
      <c r="HQR62" s="10"/>
      <c r="HQS62" s="10"/>
      <c r="HQT62" s="10"/>
      <c r="HQU62" s="10"/>
      <c r="HQV62" s="10"/>
      <c r="HQW62" s="10"/>
      <c r="HQX62" s="10"/>
      <c r="HQY62" s="10"/>
      <c r="HQZ62" s="10"/>
      <c r="HRA62" s="10"/>
      <c r="HRB62" s="10"/>
      <c r="HRC62" s="10"/>
      <c r="HRD62" s="10"/>
      <c r="HRE62" s="10"/>
      <c r="HRF62" s="10"/>
      <c r="HRG62" s="10"/>
      <c r="HRH62" s="10"/>
      <c r="HRI62" s="10"/>
      <c r="HRJ62" s="10"/>
      <c r="HRK62" s="10"/>
      <c r="HRL62" s="10"/>
      <c r="HRM62" s="10"/>
      <c r="HRN62" s="10"/>
      <c r="HRO62" s="10"/>
      <c r="HRP62" s="10"/>
      <c r="HRQ62" s="10"/>
      <c r="HRR62" s="10"/>
      <c r="HRS62" s="10"/>
      <c r="HRT62" s="10"/>
      <c r="HRU62" s="10"/>
      <c r="HRV62" s="10"/>
      <c r="HRW62" s="10"/>
      <c r="HRX62" s="10"/>
      <c r="HRY62" s="10"/>
      <c r="HRZ62" s="10"/>
      <c r="HSA62" s="10"/>
      <c r="HSB62" s="10"/>
      <c r="HSC62" s="10"/>
      <c r="HSD62" s="10"/>
      <c r="HSE62" s="10"/>
      <c r="HSF62" s="10"/>
      <c r="HSG62" s="10"/>
      <c r="HSH62" s="10"/>
      <c r="HSI62" s="10"/>
      <c r="HSJ62" s="10"/>
      <c r="HSK62" s="10"/>
      <c r="HSL62" s="10"/>
      <c r="HSM62" s="10"/>
      <c r="HSN62" s="10"/>
      <c r="HSO62" s="10"/>
      <c r="HSP62" s="10"/>
      <c r="HSQ62" s="10"/>
      <c r="HSR62" s="10"/>
      <c r="HSS62" s="10"/>
      <c r="HST62" s="10"/>
      <c r="HSU62" s="10"/>
      <c r="HSV62" s="10"/>
      <c r="HSW62" s="10"/>
      <c r="HSX62" s="10"/>
      <c r="HSY62" s="10"/>
      <c r="HSZ62" s="10"/>
      <c r="HTA62" s="10"/>
      <c r="HTB62" s="10"/>
      <c r="HTC62" s="10"/>
      <c r="HTD62" s="10"/>
      <c r="HTE62" s="10"/>
      <c r="HTF62" s="10"/>
      <c r="HTG62" s="10"/>
      <c r="HTH62" s="10"/>
      <c r="HTI62" s="10"/>
      <c r="HTJ62" s="10"/>
      <c r="HTK62" s="10"/>
      <c r="HTL62" s="10"/>
      <c r="HTM62" s="10"/>
      <c r="HTN62" s="10"/>
      <c r="HTO62" s="10"/>
      <c r="HTP62" s="10"/>
      <c r="HTQ62" s="10"/>
      <c r="HTR62" s="10"/>
      <c r="HTS62" s="10"/>
      <c r="HTT62" s="10"/>
      <c r="HTU62" s="10"/>
      <c r="HTV62" s="10"/>
      <c r="HTW62" s="10"/>
      <c r="HTX62" s="10"/>
      <c r="HTY62" s="10"/>
      <c r="HTZ62" s="10"/>
      <c r="HUA62" s="10"/>
      <c r="HUB62" s="10"/>
      <c r="HUC62" s="10"/>
      <c r="HUD62" s="10"/>
      <c r="HUE62" s="10"/>
      <c r="HUF62" s="10"/>
      <c r="HUG62" s="10"/>
      <c r="HUH62" s="10"/>
      <c r="HUI62" s="10"/>
      <c r="HUJ62" s="10"/>
      <c r="HUK62" s="10"/>
      <c r="HUL62" s="10"/>
      <c r="HUM62" s="10"/>
      <c r="HUN62" s="10"/>
      <c r="HUO62" s="10"/>
      <c r="HUP62" s="10"/>
      <c r="HUQ62" s="10"/>
      <c r="HUR62" s="10"/>
      <c r="HUS62" s="10"/>
      <c r="HUT62" s="10"/>
      <c r="HUU62" s="10"/>
      <c r="HUV62" s="10"/>
      <c r="HUW62" s="10"/>
      <c r="HUX62" s="10"/>
      <c r="HUY62" s="10"/>
      <c r="HUZ62" s="10"/>
      <c r="HVA62" s="10"/>
      <c r="HVB62" s="10"/>
      <c r="HVC62" s="10"/>
      <c r="HVD62" s="10"/>
      <c r="HVE62" s="10"/>
      <c r="HVF62" s="10"/>
      <c r="HVG62" s="10"/>
      <c r="HVH62" s="10"/>
      <c r="HVI62" s="10"/>
      <c r="HVJ62" s="10"/>
      <c r="HVK62" s="10"/>
      <c r="HVL62" s="10"/>
      <c r="HVM62" s="10"/>
      <c r="HVN62" s="10"/>
      <c r="HVO62" s="10"/>
      <c r="HVP62" s="10"/>
      <c r="HVQ62" s="10"/>
      <c r="HVR62" s="10"/>
      <c r="HVS62" s="10"/>
      <c r="HVT62" s="10"/>
      <c r="HVU62" s="10"/>
      <c r="HVV62" s="10"/>
      <c r="HVW62" s="10"/>
      <c r="HVX62" s="10"/>
      <c r="HVY62" s="10"/>
      <c r="HVZ62" s="10"/>
      <c r="HWA62" s="10"/>
      <c r="HWB62" s="10"/>
      <c r="HWC62" s="10"/>
      <c r="HWD62" s="10"/>
      <c r="HWE62" s="10"/>
      <c r="HWF62" s="10"/>
      <c r="HWG62" s="10"/>
      <c r="HWH62" s="10"/>
      <c r="HWI62" s="10"/>
      <c r="HWJ62" s="10"/>
      <c r="HWK62" s="10"/>
      <c r="HWL62" s="10"/>
      <c r="HWM62" s="10"/>
      <c r="HWN62" s="10"/>
      <c r="HWO62" s="10"/>
      <c r="HWP62" s="10"/>
      <c r="HWQ62" s="10"/>
      <c r="HWR62" s="10"/>
      <c r="HWS62" s="10"/>
      <c r="HWT62" s="10"/>
      <c r="HWU62" s="10"/>
      <c r="HWV62" s="10"/>
      <c r="HWW62" s="10"/>
      <c r="HWX62" s="10"/>
      <c r="HWY62" s="10"/>
      <c r="HWZ62" s="10"/>
      <c r="HXA62" s="10"/>
      <c r="HXB62" s="10"/>
      <c r="HXC62" s="10"/>
      <c r="HXD62" s="10"/>
      <c r="HXE62" s="10"/>
      <c r="HXF62" s="10"/>
      <c r="HXG62" s="10"/>
      <c r="HXH62" s="10"/>
      <c r="HXI62" s="10"/>
      <c r="HXJ62" s="10"/>
      <c r="HXK62" s="10"/>
      <c r="HXL62" s="10"/>
      <c r="HXM62" s="10"/>
      <c r="HXN62" s="10"/>
      <c r="HXO62" s="10"/>
      <c r="HXP62" s="10"/>
      <c r="HXQ62" s="10"/>
      <c r="HXR62" s="10"/>
      <c r="HXS62" s="10"/>
      <c r="HXT62" s="10"/>
      <c r="HXU62" s="10"/>
      <c r="HXV62" s="10"/>
      <c r="HXW62" s="10"/>
      <c r="HXX62" s="10"/>
      <c r="HXY62" s="10"/>
      <c r="HXZ62" s="10"/>
      <c r="HYA62" s="10"/>
      <c r="HYB62" s="10"/>
      <c r="HYC62" s="10"/>
      <c r="HYD62" s="10"/>
      <c r="HYE62" s="10"/>
      <c r="HYF62" s="10"/>
      <c r="HYG62" s="10"/>
      <c r="HYH62" s="10"/>
      <c r="HYI62" s="10"/>
      <c r="HYJ62" s="10"/>
      <c r="HYK62" s="10"/>
      <c r="HYL62" s="10"/>
      <c r="HYM62" s="10"/>
      <c r="HYN62" s="10"/>
      <c r="HYO62" s="10"/>
      <c r="HYP62" s="10"/>
      <c r="HYQ62" s="10"/>
      <c r="HYR62" s="10"/>
      <c r="HYS62" s="10"/>
      <c r="HYT62" s="10"/>
      <c r="HYU62" s="10"/>
      <c r="HYV62" s="10"/>
      <c r="HYW62" s="10"/>
      <c r="HYX62" s="10"/>
      <c r="HYY62" s="10"/>
      <c r="HYZ62" s="10"/>
      <c r="HZA62" s="10"/>
      <c r="HZB62" s="10"/>
      <c r="HZC62" s="10"/>
      <c r="HZD62" s="10"/>
      <c r="HZE62" s="10"/>
      <c r="HZF62" s="10"/>
      <c r="HZG62" s="10"/>
      <c r="HZH62" s="10"/>
      <c r="HZI62" s="10"/>
      <c r="HZJ62" s="10"/>
      <c r="HZK62" s="10"/>
      <c r="HZL62" s="10"/>
      <c r="HZM62" s="10"/>
      <c r="HZN62" s="10"/>
      <c r="HZO62" s="10"/>
      <c r="HZP62" s="10"/>
      <c r="HZQ62" s="10"/>
      <c r="HZR62" s="10"/>
      <c r="HZS62" s="10"/>
      <c r="HZT62" s="10"/>
      <c r="HZU62" s="10"/>
      <c r="HZV62" s="10"/>
      <c r="HZW62" s="10"/>
      <c r="HZX62" s="10"/>
      <c r="HZY62" s="10"/>
      <c r="HZZ62" s="10"/>
      <c r="IAA62" s="10"/>
      <c r="IAB62" s="10"/>
      <c r="IAC62" s="10"/>
      <c r="IAD62" s="10"/>
      <c r="IAE62" s="10"/>
      <c r="IAF62" s="10"/>
      <c r="IAG62" s="10"/>
      <c r="IAH62" s="10"/>
      <c r="IAI62" s="10"/>
      <c r="IAJ62" s="10"/>
      <c r="IAK62" s="10"/>
      <c r="IAL62" s="10"/>
      <c r="IAM62" s="10"/>
      <c r="IAN62" s="10"/>
      <c r="IAO62" s="10"/>
      <c r="IAP62" s="10"/>
      <c r="IAQ62" s="10"/>
      <c r="IAR62" s="10"/>
      <c r="IAS62" s="10"/>
      <c r="IAT62" s="10"/>
      <c r="IAU62" s="10"/>
      <c r="IAV62" s="10"/>
      <c r="IAW62" s="10"/>
      <c r="IAX62" s="10"/>
      <c r="IAY62" s="10"/>
      <c r="IAZ62" s="10"/>
      <c r="IBA62" s="10"/>
      <c r="IBB62" s="10"/>
      <c r="IBC62" s="10"/>
      <c r="IBD62" s="10"/>
      <c r="IBE62" s="10"/>
      <c r="IBF62" s="10"/>
      <c r="IBG62" s="10"/>
      <c r="IBH62" s="10"/>
      <c r="IBI62" s="10"/>
      <c r="IBJ62" s="10"/>
      <c r="IBK62" s="10"/>
      <c r="IBL62" s="10"/>
      <c r="IBM62" s="10"/>
      <c r="IBN62" s="10"/>
      <c r="IBO62" s="10"/>
      <c r="IBP62" s="10"/>
      <c r="IBQ62" s="10"/>
      <c r="IBR62" s="10"/>
      <c r="IBS62" s="10"/>
      <c r="IBT62" s="10"/>
      <c r="IBU62" s="10"/>
      <c r="IBV62" s="10"/>
      <c r="IBW62" s="10"/>
      <c r="IBX62" s="10"/>
      <c r="IBY62" s="10"/>
      <c r="IBZ62" s="10"/>
      <c r="ICA62" s="10"/>
      <c r="ICB62" s="10"/>
      <c r="ICC62" s="10"/>
      <c r="ICD62" s="10"/>
      <c r="ICE62" s="10"/>
      <c r="ICF62" s="10"/>
      <c r="ICG62" s="10"/>
      <c r="ICH62" s="10"/>
      <c r="ICI62" s="10"/>
      <c r="ICJ62" s="10"/>
      <c r="ICK62" s="10"/>
      <c r="ICL62" s="10"/>
      <c r="ICM62" s="10"/>
      <c r="ICN62" s="10"/>
      <c r="ICO62" s="10"/>
      <c r="ICP62" s="10"/>
      <c r="ICQ62" s="10"/>
      <c r="ICR62" s="10"/>
      <c r="ICS62" s="10"/>
      <c r="ICT62" s="10"/>
      <c r="ICU62" s="10"/>
      <c r="ICV62" s="10"/>
      <c r="ICW62" s="10"/>
      <c r="ICX62" s="10"/>
      <c r="ICY62" s="10"/>
      <c r="ICZ62" s="10"/>
      <c r="IDA62" s="10"/>
      <c r="IDB62" s="10"/>
      <c r="IDC62" s="10"/>
      <c r="IDD62" s="10"/>
      <c r="IDE62" s="10"/>
      <c r="IDF62" s="10"/>
      <c r="IDG62" s="10"/>
      <c r="IDH62" s="10"/>
      <c r="IDI62" s="10"/>
      <c r="IDJ62" s="10"/>
      <c r="IDK62" s="10"/>
      <c r="IDL62" s="10"/>
      <c r="IDM62" s="10"/>
      <c r="IDN62" s="10"/>
      <c r="IDO62" s="10"/>
      <c r="IDP62" s="10"/>
      <c r="IDQ62" s="10"/>
      <c r="IDR62" s="10"/>
      <c r="IDS62" s="10"/>
      <c r="IDT62" s="10"/>
      <c r="IDU62" s="10"/>
      <c r="IDV62" s="10"/>
      <c r="IDW62" s="10"/>
      <c r="IDX62" s="10"/>
      <c r="IDY62" s="10"/>
      <c r="IDZ62" s="10"/>
      <c r="IEA62" s="10"/>
      <c r="IEB62" s="10"/>
      <c r="IEC62" s="10"/>
      <c r="IED62" s="10"/>
      <c r="IEE62" s="10"/>
      <c r="IEF62" s="10"/>
      <c r="IEG62" s="10"/>
      <c r="IEH62" s="10"/>
      <c r="IEI62" s="10"/>
      <c r="IEJ62" s="10"/>
      <c r="IEK62" s="10"/>
      <c r="IEL62" s="10"/>
      <c r="IEM62" s="10"/>
      <c r="IEN62" s="10"/>
      <c r="IEO62" s="10"/>
      <c r="IEP62" s="10"/>
      <c r="IEQ62" s="10"/>
      <c r="IER62" s="10"/>
      <c r="IES62" s="10"/>
      <c r="IET62" s="10"/>
      <c r="IEU62" s="10"/>
      <c r="IEV62" s="10"/>
      <c r="IEW62" s="10"/>
      <c r="IEX62" s="10"/>
      <c r="IEY62" s="10"/>
      <c r="IEZ62" s="10"/>
      <c r="IFA62" s="10"/>
      <c r="IFB62" s="10"/>
      <c r="IFC62" s="10"/>
      <c r="IFD62" s="10"/>
      <c r="IFE62" s="10"/>
      <c r="IFF62" s="10"/>
      <c r="IFG62" s="10"/>
      <c r="IFH62" s="10"/>
      <c r="IFI62" s="10"/>
      <c r="IFJ62" s="10"/>
      <c r="IFK62" s="10"/>
      <c r="IFL62" s="10"/>
      <c r="IFM62" s="10"/>
      <c r="IFN62" s="10"/>
      <c r="IFO62" s="10"/>
      <c r="IFP62" s="10"/>
      <c r="IFQ62" s="10"/>
      <c r="IFR62" s="10"/>
      <c r="IFS62" s="10"/>
      <c r="IFT62" s="10"/>
      <c r="IFU62" s="10"/>
      <c r="IFV62" s="10"/>
      <c r="IFW62" s="10"/>
      <c r="IFX62" s="10"/>
      <c r="IFY62" s="10"/>
      <c r="IFZ62" s="10"/>
      <c r="IGA62" s="10"/>
      <c r="IGB62" s="10"/>
      <c r="IGC62" s="10"/>
      <c r="IGD62" s="10"/>
      <c r="IGE62" s="10"/>
      <c r="IGF62" s="10"/>
      <c r="IGG62" s="10"/>
      <c r="IGH62" s="10"/>
      <c r="IGI62" s="10"/>
      <c r="IGJ62" s="10"/>
      <c r="IGK62" s="10"/>
      <c r="IGL62" s="10"/>
      <c r="IGM62" s="10"/>
      <c r="IGN62" s="10"/>
      <c r="IGO62" s="10"/>
      <c r="IGP62" s="10"/>
      <c r="IGQ62" s="10"/>
      <c r="IGR62" s="10"/>
      <c r="IGS62" s="10"/>
      <c r="IGT62" s="10"/>
      <c r="IGU62" s="10"/>
      <c r="IGV62" s="10"/>
      <c r="IGW62" s="10"/>
      <c r="IGX62" s="10"/>
      <c r="IGY62" s="10"/>
      <c r="IGZ62" s="10"/>
      <c r="IHA62" s="10"/>
      <c r="IHB62" s="10"/>
      <c r="IHC62" s="10"/>
      <c r="IHD62" s="10"/>
      <c r="IHE62" s="10"/>
      <c r="IHF62" s="10"/>
      <c r="IHG62" s="10"/>
      <c r="IHH62" s="10"/>
      <c r="IHI62" s="10"/>
      <c r="IHJ62" s="10"/>
      <c r="IHK62" s="10"/>
      <c r="IHL62" s="10"/>
      <c r="IHM62" s="10"/>
      <c r="IHN62" s="10"/>
      <c r="IHO62" s="10"/>
      <c r="IHP62" s="10"/>
      <c r="IHQ62" s="10"/>
      <c r="IHR62" s="10"/>
      <c r="IHS62" s="10"/>
      <c r="IHT62" s="10"/>
      <c r="IHU62" s="10"/>
      <c r="IHV62" s="10"/>
      <c r="IHW62" s="10"/>
      <c r="IHX62" s="10"/>
      <c r="IHY62" s="10"/>
      <c r="IHZ62" s="10"/>
      <c r="IIA62" s="10"/>
      <c r="IIB62" s="10"/>
      <c r="IIC62" s="10"/>
      <c r="IID62" s="10"/>
      <c r="IIE62" s="10"/>
      <c r="IIF62" s="10"/>
      <c r="IIG62" s="10"/>
      <c r="IIH62" s="10"/>
      <c r="III62" s="10"/>
      <c r="IIJ62" s="10"/>
      <c r="IIK62" s="10"/>
      <c r="IIL62" s="10"/>
      <c r="IIM62" s="10"/>
      <c r="IIN62" s="10"/>
      <c r="IIO62" s="10"/>
      <c r="IIP62" s="10"/>
      <c r="IIQ62" s="10"/>
      <c r="IIR62" s="10"/>
      <c r="IIS62" s="10"/>
      <c r="IIT62" s="10"/>
      <c r="IIU62" s="10"/>
      <c r="IIV62" s="10"/>
      <c r="IIW62" s="10"/>
      <c r="IIX62" s="10"/>
      <c r="IIY62" s="10"/>
      <c r="IIZ62" s="10"/>
      <c r="IJA62" s="10"/>
      <c r="IJB62" s="10"/>
      <c r="IJC62" s="10"/>
      <c r="IJD62" s="10"/>
      <c r="IJE62" s="10"/>
      <c r="IJF62" s="10"/>
      <c r="IJG62" s="10"/>
      <c r="IJH62" s="10"/>
      <c r="IJI62" s="10"/>
      <c r="IJJ62" s="10"/>
      <c r="IJK62" s="10"/>
      <c r="IJL62" s="10"/>
      <c r="IJM62" s="10"/>
      <c r="IJN62" s="10"/>
      <c r="IJO62" s="10"/>
      <c r="IJP62" s="10"/>
      <c r="IJQ62" s="10"/>
      <c r="IJR62" s="10"/>
      <c r="IJS62" s="10"/>
      <c r="IJT62" s="10"/>
      <c r="IJU62" s="10"/>
      <c r="IJV62" s="10"/>
      <c r="IJW62" s="10"/>
      <c r="IJX62" s="10"/>
      <c r="IJY62" s="10"/>
      <c r="IJZ62" s="10"/>
      <c r="IKA62" s="10"/>
      <c r="IKB62" s="10"/>
      <c r="IKC62" s="10"/>
      <c r="IKD62" s="10"/>
      <c r="IKE62" s="10"/>
      <c r="IKF62" s="10"/>
      <c r="IKG62" s="10"/>
      <c r="IKH62" s="10"/>
      <c r="IKI62" s="10"/>
      <c r="IKJ62" s="10"/>
      <c r="IKK62" s="10"/>
      <c r="IKL62" s="10"/>
      <c r="IKM62" s="10"/>
      <c r="IKN62" s="10"/>
      <c r="IKO62" s="10"/>
      <c r="IKP62" s="10"/>
      <c r="IKQ62" s="10"/>
      <c r="IKR62" s="10"/>
      <c r="IKS62" s="10"/>
      <c r="IKT62" s="10"/>
      <c r="IKU62" s="10"/>
      <c r="IKV62" s="10"/>
      <c r="IKW62" s="10"/>
      <c r="IKX62" s="10"/>
      <c r="IKY62" s="10"/>
      <c r="IKZ62" s="10"/>
      <c r="ILA62" s="10"/>
      <c r="ILB62" s="10"/>
      <c r="ILC62" s="10"/>
      <c r="ILD62" s="10"/>
      <c r="ILE62" s="10"/>
      <c r="ILF62" s="10"/>
      <c r="ILG62" s="10"/>
      <c r="ILH62" s="10"/>
      <c r="ILI62" s="10"/>
      <c r="ILJ62" s="10"/>
      <c r="ILK62" s="10"/>
      <c r="ILL62" s="10"/>
      <c r="ILM62" s="10"/>
      <c r="ILN62" s="10"/>
      <c r="ILO62" s="10"/>
      <c r="ILP62" s="10"/>
      <c r="ILQ62" s="10"/>
      <c r="ILR62" s="10"/>
      <c r="ILS62" s="10"/>
      <c r="ILT62" s="10"/>
      <c r="ILU62" s="10"/>
      <c r="ILV62" s="10"/>
      <c r="ILW62" s="10"/>
      <c r="ILX62" s="10"/>
      <c r="ILY62" s="10"/>
      <c r="ILZ62" s="10"/>
      <c r="IMA62" s="10"/>
      <c r="IMB62" s="10"/>
      <c r="IMC62" s="10"/>
      <c r="IMD62" s="10"/>
      <c r="IME62" s="10"/>
      <c r="IMF62" s="10"/>
      <c r="IMG62" s="10"/>
      <c r="IMH62" s="10"/>
      <c r="IMI62" s="10"/>
      <c r="IMJ62" s="10"/>
      <c r="IMK62" s="10"/>
      <c r="IML62" s="10"/>
      <c r="IMM62" s="10"/>
      <c r="IMN62" s="10"/>
      <c r="IMO62" s="10"/>
      <c r="IMP62" s="10"/>
      <c r="IMQ62" s="10"/>
      <c r="IMR62" s="10"/>
      <c r="IMS62" s="10"/>
      <c r="IMT62" s="10"/>
      <c r="IMU62" s="10"/>
      <c r="IMV62" s="10"/>
      <c r="IMW62" s="10"/>
      <c r="IMX62" s="10"/>
      <c r="IMY62" s="10"/>
      <c r="IMZ62" s="10"/>
      <c r="INA62" s="10"/>
      <c r="INB62" s="10"/>
      <c r="INC62" s="10"/>
      <c r="IND62" s="10"/>
      <c r="INE62" s="10"/>
      <c r="INF62" s="10"/>
      <c r="ING62" s="10"/>
      <c r="INH62" s="10"/>
      <c r="INI62" s="10"/>
      <c r="INJ62" s="10"/>
      <c r="INK62" s="10"/>
      <c r="INL62" s="10"/>
      <c r="INM62" s="10"/>
      <c r="INN62" s="10"/>
      <c r="INO62" s="10"/>
      <c r="INP62" s="10"/>
      <c r="INQ62" s="10"/>
      <c r="INR62" s="10"/>
      <c r="INS62" s="10"/>
      <c r="INT62" s="10"/>
      <c r="INU62" s="10"/>
      <c r="INV62" s="10"/>
      <c r="INW62" s="10"/>
      <c r="INX62" s="10"/>
      <c r="INY62" s="10"/>
      <c r="INZ62" s="10"/>
      <c r="IOA62" s="10"/>
      <c r="IOB62" s="10"/>
      <c r="IOC62" s="10"/>
      <c r="IOD62" s="10"/>
      <c r="IOE62" s="10"/>
      <c r="IOF62" s="10"/>
      <c r="IOG62" s="10"/>
      <c r="IOH62" s="10"/>
      <c r="IOI62" s="10"/>
      <c r="IOJ62" s="10"/>
      <c r="IOK62" s="10"/>
      <c r="IOL62" s="10"/>
      <c r="IOM62" s="10"/>
      <c r="ION62" s="10"/>
      <c r="IOO62" s="10"/>
      <c r="IOP62" s="10"/>
      <c r="IOQ62" s="10"/>
      <c r="IOR62" s="10"/>
      <c r="IOS62" s="10"/>
      <c r="IOT62" s="10"/>
      <c r="IOU62" s="10"/>
      <c r="IOV62" s="10"/>
      <c r="IOW62" s="10"/>
      <c r="IOX62" s="10"/>
      <c r="IOY62" s="10"/>
      <c r="IOZ62" s="10"/>
      <c r="IPA62" s="10"/>
      <c r="IPB62" s="10"/>
      <c r="IPC62" s="10"/>
      <c r="IPD62" s="10"/>
      <c r="IPE62" s="10"/>
      <c r="IPF62" s="10"/>
      <c r="IPG62" s="10"/>
      <c r="IPH62" s="10"/>
      <c r="IPI62" s="10"/>
      <c r="IPJ62" s="10"/>
      <c r="IPK62" s="10"/>
      <c r="IPL62" s="10"/>
      <c r="IPM62" s="10"/>
      <c r="IPN62" s="10"/>
      <c r="IPO62" s="10"/>
      <c r="IPP62" s="10"/>
      <c r="IPQ62" s="10"/>
      <c r="IPR62" s="10"/>
      <c r="IPS62" s="10"/>
      <c r="IPT62" s="10"/>
      <c r="IPU62" s="10"/>
      <c r="IPV62" s="10"/>
      <c r="IPW62" s="10"/>
      <c r="IPX62" s="10"/>
      <c r="IPY62" s="10"/>
      <c r="IPZ62" s="10"/>
      <c r="IQA62" s="10"/>
      <c r="IQB62" s="10"/>
      <c r="IQC62" s="10"/>
      <c r="IQD62" s="10"/>
      <c r="IQE62" s="10"/>
      <c r="IQF62" s="10"/>
      <c r="IQG62" s="10"/>
      <c r="IQH62" s="10"/>
      <c r="IQI62" s="10"/>
      <c r="IQJ62" s="10"/>
      <c r="IQK62" s="10"/>
      <c r="IQL62" s="10"/>
      <c r="IQM62" s="10"/>
      <c r="IQN62" s="10"/>
      <c r="IQO62" s="10"/>
      <c r="IQP62" s="10"/>
      <c r="IQQ62" s="10"/>
      <c r="IQR62" s="10"/>
      <c r="IQS62" s="10"/>
      <c r="IQT62" s="10"/>
      <c r="IQU62" s="10"/>
      <c r="IQV62" s="10"/>
      <c r="IQW62" s="10"/>
      <c r="IQX62" s="10"/>
      <c r="IQY62" s="10"/>
      <c r="IQZ62" s="10"/>
      <c r="IRA62" s="10"/>
      <c r="IRB62" s="10"/>
      <c r="IRC62" s="10"/>
      <c r="IRD62" s="10"/>
      <c r="IRE62" s="10"/>
      <c r="IRF62" s="10"/>
      <c r="IRG62" s="10"/>
      <c r="IRH62" s="10"/>
      <c r="IRI62" s="10"/>
      <c r="IRJ62" s="10"/>
      <c r="IRK62" s="10"/>
      <c r="IRL62" s="10"/>
      <c r="IRM62" s="10"/>
      <c r="IRN62" s="10"/>
      <c r="IRO62" s="10"/>
      <c r="IRP62" s="10"/>
      <c r="IRQ62" s="10"/>
      <c r="IRR62" s="10"/>
      <c r="IRS62" s="10"/>
      <c r="IRT62" s="10"/>
      <c r="IRU62" s="10"/>
      <c r="IRV62" s="10"/>
      <c r="IRW62" s="10"/>
      <c r="IRX62" s="10"/>
      <c r="IRY62" s="10"/>
      <c r="IRZ62" s="10"/>
      <c r="ISA62" s="10"/>
      <c r="ISB62" s="10"/>
      <c r="ISC62" s="10"/>
      <c r="ISD62" s="10"/>
      <c r="ISE62" s="10"/>
      <c r="ISF62" s="10"/>
      <c r="ISG62" s="10"/>
      <c r="ISH62" s="10"/>
      <c r="ISI62" s="10"/>
      <c r="ISJ62" s="10"/>
      <c r="ISK62" s="10"/>
      <c r="ISL62" s="10"/>
      <c r="ISM62" s="10"/>
      <c r="ISN62" s="10"/>
      <c r="ISO62" s="10"/>
      <c r="ISP62" s="10"/>
      <c r="ISQ62" s="10"/>
      <c r="ISR62" s="10"/>
      <c r="ISS62" s="10"/>
      <c r="IST62" s="10"/>
      <c r="ISU62" s="10"/>
      <c r="ISV62" s="10"/>
      <c r="ISW62" s="10"/>
      <c r="ISX62" s="10"/>
      <c r="ISY62" s="10"/>
      <c r="ISZ62" s="10"/>
      <c r="ITA62" s="10"/>
      <c r="ITB62" s="10"/>
      <c r="ITC62" s="10"/>
      <c r="ITD62" s="10"/>
      <c r="ITE62" s="10"/>
      <c r="ITF62" s="10"/>
      <c r="ITG62" s="10"/>
      <c r="ITH62" s="10"/>
      <c r="ITI62" s="10"/>
      <c r="ITJ62" s="10"/>
      <c r="ITK62" s="10"/>
      <c r="ITL62" s="10"/>
      <c r="ITM62" s="10"/>
      <c r="ITN62" s="10"/>
      <c r="ITO62" s="10"/>
      <c r="ITP62" s="10"/>
      <c r="ITQ62" s="10"/>
      <c r="ITR62" s="10"/>
      <c r="ITS62" s="10"/>
      <c r="ITT62" s="10"/>
      <c r="ITU62" s="10"/>
      <c r="ITV62" s="10"/>
      <c r="ITW62" s="10"/>
      <c r="ITX62" s="10"/>
      <c r="ITY62" s="10"/>
      <c r="ITZ62" s="10"/>
      <c r="IUA62" s="10"/>
      <c r="IUB62" s="10"/>
      <c r="IUC62" s="10"/>
      <c r="IUD62" s="10"/>
      <c r="IUE62" s="10"/>
      <c r="IUF62" s="10"/>
      <c r="IUG62" s="10"/>
      <c r="IUH62" s="10"/>
      <c r="IUI62" s="10"/>
      <c r="IUJ62" s="10"/>
      <c r="IUK62" s="10"/>
      <c r="IUL62" s="10"/>
      <c r="IUM62" s="10"/>
      <c r="IUN62" s="10"/>
      <c r="IUO62" s="10"/>
      <c r="IUP62" s="10"/>
      <c r="IUQ62" s="10"/>
      <c r="IUR62" s="10"/>
      <c r="IUS62" s="10"/>
      <c r="IUT62" s="10"/>
      <c r="IUU62" s="10"/>
      <c r="IUV62" s="10"/>
      <c r="IUW62" s="10"/>
      <c r="IUX62" s="10"/>
      <c r="IUY62" s="10"/>
      <c r="IUZ62" s="10"/>
      <c r="IVA62" s="10"/>
      <c r="IVB62" s="10"/>
      <c r="IVC62" s="10"/>
      <c r="IVD62" s="10"/>
      <c r="IVE62" s="10"/>
      <c r="IVF62" s="10"/>
      <c r="IVG62" s="10"/>
      <c r="IVH62" s="10"/>
      <c r="IVI62" s="10"/>
      <c r="IVJ62" s="10"/>
      <c r="IVK62" s="10"/>
      <c r="IVL62" s="10"/>
      <c r="IVM62" s="10"/>
      <c r="IVN62" s="10"/>
      <c r="IVO62" s="10"/>
      <c r="IVP62" s="10"/>
      <c r="IVQ62" s="10"/>
      <c r="IVR62" s="10"/>
      <c r="IVS62" s="10"/>
      <c r="IVT62" s="10"/>
      <c r="IVU62" s="10"/>
      <c r="IVV62" s="10"/>
      <c r="IVW62" s="10"/>
      <c r="IVX62" s="10"/>
      <c r="IVY62" s="10"/>
      <c r="IVZ62" s="10"/>
      <c r="IWA62" s="10"/>
      <c r="IWB62" s="10"/>
      <c r="IWC62" s="10"/>
      <c r="IWD62" s="10"/>
      <c r="IWE62" s="10"/>
      <c r="IWF62" s="10"/>
      <c r="IWG62" s="10"/>
      <c r="IWH62" s="10"/>
      <c r="IWI62" s="10"/>
      <c r="IWJ62" s="10"/>
      <c r="IWK62" s="10"/>
      <c r="IWL62" s="10"/>
      <c r="IWM62" s="10"/>
      <c r="IWN62" s="10"/>
      <c r="IWO62" s="10"/>
      <c r="IWP62" s="10"/>
      <c r="IWQ62" s="10"/>
      <c r="IWR62" s="10"/>
      <c r="IWS62" s="10"/>
      <c r="IWT62" s="10"/>
      <c r="IWU62" s="10"/>
      <c r="IWV62" s="10"/>
      <c r="IWW62" s="10"/>
      <c r="IWX62" s="10"/>
      <c r="IWY62" s="10"/>
      <c r="IWZ62" s="10"/>
      <c r="IXA62" s="10"/>
      <c r="IXB62" s="10"/>
      <c r="IXC62" s="10"/>
      <c r="IXD62" s="10"/>
      <c r="IXE62" s="10"/>
      <c r="IXF62" s="10"/>
      <c r="IXG62" s="10"/>
      <c r="IXH62" s="10"/>
      <c r="IXI62" s="10"/>
      <c r="IXJ62" s="10"/>
      <c r="IXK62" s="10"/>
      <c r="IXL62" s="10"/>
      <c r="IXM62" s="10"/>
      <c r="IXN62" s="10"/>
      <c r="IXO62" s="10"/>
      <c r="IXP62" s="10"/>
      <c r="IXQ62" s="10"/>
      <c r="IXR62" s="10"/>
      <c r="IXS62" s="10"/>
      <c r="IXT62" s="10"/>
      <c r="IXU62" s="10"/>
      <c r="IXV62" s="10"/>
      <c r="IXW62" s="10"/>
      <c r="IXX62" s="10"/>
      <c r="IXY62" s="10"/>
      <c r="IXZ62" s="10"/>
      <c r="IYA62" s="10"/>
      <c r="IYB62" s="10"/>
      <c r="IYC62" s="10"/>
      <c r="IYD62" s="10"/>
      <c r="IYE62" s="10"/>
      <c r="IYF62" s="10"/>
      <c r="IYG62" s="10"/>
      <c r="IYH62" s="10"/>
      <c r="IYI62" s="10"/>
      <c r="IYJ62" s="10"/>
      <c r="IYK62" s="10"/>
      <c r="IYL62" s="10"/>
      <c r="IYM62" s="10"/>
      <c r="IYN62" s="10"/>
      <c r="IYO62" s="10"/>
      <c r="IYP62" s="10"/>
      <c r="IYQ62" s="10"/>
      <c r="IYR62" s="10"/>
      <c r="IYS62" s="10"/>
      <c r="IYT62" s="10"/>
      <c r="IYU62" s="10"/>
      <c r="IYV62" s="10"/>
      <c r="IYW62" s="10"/>
      <c r="IYX62" s="10"/>
      <c r="IYY62" s="10"/>
      <c r="IYZ62" s="10"/>
      <c r="IZA62" s="10"/>
      <c r="IZB62" s="10"/>
      <c r="IZC62" s="10"/>
      <c r="IZD62" s="10"/>
      <c r="IZE62" s="10"/>
      <c r="IZF62" s="10"/>
      <c r="IZG62" s="10"/>
      <c r="IZH62" s="10"/>
      <c r="IZI62" s="10"/>
      <c r="IZJ62" s="10"/>
      <c r="IZK62" s="10"/>
      <c r="IZL62" s="10"/>
      <c r="IZM62" s="10"/>
      <c r="IZN62" s="10"/>
      <c r="IZO62" s="10"/>
      <c r="IZP62" s="10"/>
      <c r="IZQ62" s="10"/>
      <c r="IZR62" s="10"/>
      <c r="IZS62" s="10"/>
      <c r="IZT62" s="10"/>
      <c r="IZU62" s="10"/>
      <c r="IZV62" s="10"/>
      <c r="IZW62" s="10"/>
      <c r="IZX62" s="10"/>
      <c r="IZY62" s="10"/>
      <c r="IZZ62" s="10"/>
      <c r="JAA62" s="10"/>
      <c r="JAB62" s="10"/>
      <c r="JAC62" s="10"/>
      <c r="JAD62" s="10"/>
      <c r="JAE62" s="10"/>
      <c r="JAF62" s="10"/>
      <c r="JAG62" s="10"/>
      <c r="JAH62" s="10"/>
      <c r="JAI62" s="10"/>
      <c r="JAJ62" s="10"/>
      <c r="JAK62" s="10"/>
      <c r="JAL62" s="10"/>
      <c r="JAM62" s="10"/>
      <c r="JAN62" s="10"/>
      <c r="JAO62" s="10"/>
      <c r="JAP62" s="10"/>
      <c r="JAQ62" s="10"/>
      <c r="JAR62" s="10"/>
      <c r="JAS62" s="10"/>
      <c r="JAT62" s="10"/>
      <c r="JAU62" s="10"/>
      <c r="JAV62" s="10"/>
      <c r="JAW62" s="10"/>
      <c r="JAX62" s="10"/>
      <c r="JAY62" s="10"/>
      <c r="JAZ62" s="10"/>
      <c r="JBA62" s="10"/>
      <c r="JBB62" s="10"/>
      <c r="JBC62" s="10"/>
      <c r="JBD62" s="10"/>
      <c r="JBE62" s="10"/>
      <c r="JBF62" s="10"/>
      <c r="JBG62" s="10"/>
      <c r="JBH62" s="10"/>
      <c r="JBI62" s="10"/>
      <c r="JBJ62" s="10"/>
      <c r="JBK62" s="10"/>
      <c r="JBL62" s="10"/>
      <c r="JBM62" s="10"/>
      <c r="JBN62" s="10"/>
      <c r="JBO62" s="10"/>
      <c r="JBP62" s="10"/>
      <c r="JBQ62" s="10"/>
      <c r="JBR62" s="10"/>
      <c r="JBS62" s="10"/>
      <c r="JBT62" s="10"/>
      <c r="JBU62" s="10"/>
      <c r="JBV62" s="10"/>
      <c r="JBW62" s="10"/>
      <c r="JBX62" s="10"/>
      <c r="JBY62" s="10"/>
      <c r="JBZ62" s="10"/>
      <c r="JCA62" s="10"/>
      <c r="JCB62" s="10"/>
      <c r="JCC62" s="10"/>
      <c r="JCD62" s="10"/>
      <c r="JCE62" s="10"/>
      <c r="JCF62" s="10"/>
      <c r="JCG62" s="10"/>
      <c r="JCH62" s="10"/>
      <c r="JCI62" s="10"/>
      <c r="JCJ62" s="10"/>
      <c r="JCK62" s="10"/>
      <c r="JCL62" s="10"/>
      <c r="JCM62" s="10"/>
      <c r="JCN62" s="10"/>
      <c r="JCO62" s="10"/>
      <c r="JCP62" s="10"/>
      <c r="JCQ62" s="10"/>
      <c r="JCR62" s="10"/>
      <c r="JCS62" s="10"/>
      <c r="JCT62" s="10"/>
      <c r="JCU62" s="10"/>
      <c r="JCV62" s="10"/>
      <c r="JCW62" s="10"/>
      <c r="JCX62" s="10"/>
      <c r="JCY62" s="10"/>
      <c r="JCZ62" s="10"/>
      <c r="JDA62" s="10"/>
      <c r="JDB62" s="10"/>
      <c r="JDC62" s="10"/>
      <c r="JDD62" s="10"/>
      <c r="JDE62" s="10"/>
      <c r="JDF62" s="10"/>
      <c r="JDG62" s="10"/>
      <c r="JDH62" s="10"/>
      <c r="JDI62" s="10"/>
      <c r="JDJ62" s="10"/>
      <c r="JDK62" s="10"/>
      <c r="JDL62" s="10"/>
      <c r="JDM62" s="10"/>
      <c r="JDN62" s="10"/>
      <c r="JDO62" s="10"/>
      <c r="JDP62" s="10"/>
      <c r="JDQ62" s="10"/>
      <c r="JDR62" s="10"/>
      <c r="JDS62" s="10"/>
      <c r="JDT62" s="10"/>
      <c r="JDU62" s="10"/>
      <c r="JDV62" s="10"/>
      <c r="JDW62" s="10"/>
      <c r="JDX62" s="10"/>
      <c r="JDY62" s="10"/>
      <c r="JDZ62" s="10"/>
      <c r="JEA62" s="10"/>
      <c r="JEB62" s="10"/>
      <c r="JEC62" s="10"/>
      <c r="JED62" s="10"/>
      <c r="JEE62" s="10"/>
      <c r="JEF62" s="10"/>
      <c r="JEG62" s="10"/>
      <c r="JEH62" s="10"/>
      <c r="JEI62" s="10"/>
      <c r="JEJ62" s="10"/>
      <c r="JEK62" s="10"/>
      <c r="JEL62" s="10"/>
      <c r="JEM62" s="10"/>
      <c r="JEN62" s="10"/>
      <c r="JEO62" s="10"/>
      <c r="JEP62" s="10"/>
      <c r="JEQ62" s="10"/>
      <c r="JER62" s="10"/>
      <c r="JES62" s="10"/>
      <c r="JET62" s="10"/>
      <c r="JEU62" s="10"/>
      <c r="JEV62" s="10"/>
      <c r="JEW62" s="10"/>
      <c r="JEX62" s="10"/>
      <c r="JEY62" s="10"/>
      <c r="JEZ62" s="10"/>
      <c r="JFA62" s="10"/>
      <c r="JFB62" s="10"/>
      <c r="JFC62" s="10"/>
      <c r="JFD62" s="10"/>
      <c r="JFE62" s="10"/>
      <c r="JFF62" s="10"/>
      <c r="JFG62" s="10"/>
      <c r="JFH62" s="10"/>
      <c r="JFI62" s="10"/>
      <c r="JFJ62" s="10"/>
      <c r="JFK62" s="10"/>
      <c r="JFL62" s="10"/>
      <c r="JFM62" s="10"/>
      <c r="JFN62" s="10"/>
      <c r="JFO62" s="10"/>
      <c r="JFP62" s="10"/>
      <c r="JFQ62" s="10"/>
      <c r="JFR62" s="10"/>
      <c r="JFS62" s="10"/>
      <c r="JFT62" s="10"/>
      <c r="JFU62" s="10"/>
      <c r="JFV62" s="10"/>
      <c r="JFW62" s="10"/>
      <c r="JFX62" s="10"/>
      <c r="JFY62" s="10"/>
      <c r="JFZ62" s="10"/>
      <c r="JGA62" s="10"/>
      <c r="JGB62" s="10"/>
      <c r="JGC62" s="10"/>
      <c r="JGD62" s="10"/>
      <c r="JGE62" s="10"/>
      <c r="JGF62" s="10"/>
      <c r="JGG62" s="10"/>
      <c r="JGH62" s="10"/>
      <c r="JGI62" s="10"/>
      <c r="JGJ62" s="10"/>
      <c r="JGK62" s="10"/>
      <c r="JGL62" s="10"/>
      <c r="JGM62" s="10"/>
      <c r="JGN62" s="10"/>
      <c r="JGO62" s="10"/>
      <c r="JGP62" s="10"/>
      <c r="JGQ62" s="10"/>
      <c r="JGR62" s="10"/>
      <c r="JGS62" s="10"/>
      <c r="JGT62" s="10"/>
      <c r="JGU62" s="10"/>
      <c r="JGV62" s="10"/>
      <c r="JGW62" s="10"/>
      <c r="JGX62" s="10"/>
      <c r="JGY62" s="10"/>
      <c r="JGZ62" s="10"/>
      <c r="JHA62" s="10"/>
      <c r="JHB62" s="10"/>
      <c r="JHC62" s="10"/>
      <c r="JHD62" s="10"/>
      <c r="JHE62" s="10"/>
      <c r="JHF62" s="10"/>
      <c r="JHG62" s="10"/>
      <c r="JHH62" s="10"/>
      <c r="JHI62" s="10"/>
      <c r="JHJ62" s="10"/>
      <c r="JHK62" s="10"/>
      <c r="JHL62" s="10"/>
      <c r="JHM62" s="10"/>
      <c r="JHN62" s="10"/>
      <c r="JHO62" s="10"/>
      <c r="JHP62" s="10"/>
      <c r="JHQ62" s="10"/>
      <c r="JHR62" s="10"/>
      <c r="JHS62" s="10"/>
      <c r="JHT62" s="10"/>
      <c r="JHU62" s="10"/>
      <c r="JHV62" s="10"/>
      <c r="JHW62" s="10"/>
      <c r="JHX62" s="10"/>
      <c r="JHY62" s="10"/>
      <c r="JHZ62" s="10"/>
      <c r="JIA62" s="10"/>
      <c r="JIB62" s="10"/>
      <c r="JIC62" s="10"/>
      <c r="JID62" s="10"/>
      <c r="JIE62" s="10"/>
      <c r="JIF62" s="10"/>
      <c r="JIG62" s="10"/>
      <c r="JIH62" s="10"/>
      <c r="JII62" s="10"/>
      <c r="JIJ62" s="10"/>
      <c r="JIK62" s="10"/>
      <c r="JIL62" s="10"/>
      <c r="JIM62" s="10"/>
      <c r="JIN62" s="10"/>
      <c r="JIO62" s="10"/>
      <c r="JIP62" s="10"/>
      <c r="JIQ62" s="10"/>
      <c r="JIR62" s="10"/>
      <c r="JIS62" s="10"/>
      <c r="JIT62" s="10"/>
      <c r="JIU62" s="10"/>
      <c r="JIV62" s="10"/>
      <c r="JIW62" s="10"/>
      <c r="JIX62" s="10"/>
      <c r="JIY62" s="10"/>
      <c r="JIZ62" s="10"/>
      <c r="JJA62" s="10"/>
      <c r="JJB62" s="10"/>
      <c r="JJC62" s="10"/>
      <c r="JJD62" s="10"/>
      <c r="JJE62" s="10"/>
      <c r="JJF62" s="10"/>
      <c r="JJG62" s="10"/>
      <c r="JJH62" s="10"/>
      <c r="JJI62" s="10"/>
      <c r="JJJ62" s="10"/>
      <c r="JJK62" s="10"/>
      <c r="JJL62" s="10"/>
      <c r="JJM62" s="10"/>
      <c r="JJN62" s="10"/>
      <c r="JJO62" s="10"/>
      <c r="JJP62" s="10"/>
      <c r="JJQ62" s="10"/>
      <c r="JJR62" s="10"/>
      <c r="JJS62" s="10"/>
      <c r="JJT62" s="10"/>
      <c r="JJU62" s="10"/>
      <c r="JJV62" s="10"/>
      <c r="JJW62" s="10"/>
      <c r="JJX62" s="10"/>
      <c r="JJY62" s="10"/>
      <c r="JJZ62" s="10"/>
      <c r="JKA62" s="10"/>
      <c r="JKB62" s="10"/>
      <c r="JKC62" s="10"/>
      <c r="JKD62" s="10"/>
      <c r="JKE62" s="10"/>
      <c r="JKF62" s="10"/>
      <c r="JKG62" s="10"/>
      <c r="JKH62" s="10"/>
      <c r="JKI62" s="10"/>
      <c r="JKJ62" s="10"/>
      <c r="JKK62" s="10"/>
      <c r="JKL62" s="10"/>
      <c r="JKM62" s="10"/>
      <c r="JKN62" s="10"/>
      <c r="JKO62" s="10"/>
      <c r="JKP62" s="10"/>
      <c r="JKQ62" s="10"/>
      <c r="JKR62" s="10"/>
      <c r="JKS62" s="10"/>
      <c r="JKT62" s="10"/>
      <c r="JKU62" s="10"/>
      <c r="JKV62" s="10"/>
      <c r="JKW62" s="10"/>
      <c r="JKX62" s="10"/>
      <c r="JKY62" s="10"/>
      <c r="JKZ62" s="10"/>
      <c r="JLA62" s="10"/>
      <c r="JLB62" s="10"/>
      <c r="JLC62" s="10"/>
      <c r="JLD62" s="10"/>
      <c r="JLE62" s="10"/>
      <c r="JLF62" s="10"/>
      <c r="JLG62" s="10"/>
      <c r="JLH62" s="10"/>
      <c r="JLI62" s="10"/>
      <c r="JLJ62" s="10"/>
      <c r="JLK62" s="10"/>
      <c r="JLL62" s="10"/>
      <c r="JLM62" s="10"/>
      <c r="JLN62" s="10"/>
      <c r="JLO62" s="10"/>
      <c r="JLP62" s="10"/>
      <c r="JLQ62" s="10"/>
      <c r="JLR62" s="10"/>
      <c r="JLS62" s="10"/>
      <c r="JLT62" s="10"/>
      <c r="JLU62" s="10"/>
      <c r="JLV62" s="10"/>
      <c r="JLW62" s="10"/>
      <c r="JLX62" s="10"/>
      <c r="JLY62" s="10"/>
      <c r="JLZ62" s="10"/>
      <c r="JMA62" s="10"/>
      <c r="JMB62" s="10"/>
      <c r="JMC62" s="10"/>
      <c r="JMD62" s="10"/>
      <c r="JME62" s="10"/>
      <c r="JMF62" s="10"/>
      <c r="JMG62" s="10"/>
      <c r="JMH62" s="10"/>
      <c r="JMI62" s="10"/>
      <c r="JMJ62" s="10"/>
      <c r="JMK62" s="10"/>
      <c r="JML62" s="10"/>
      <c r="JMM62" s="10"/>
      <c r="JMN62" s="10"/>
      <c r="JMO62" s="10"/>
      <c r="JMP62" s="10"/>
      <c r="JMQ62" s="10"/>
      <c r="JMR62" s="10"/>
      <c r="JMS62" s="10"/>
      <c r="JMT62" s="10"/>
      <c r="JMU62" s="10"/>
      <c r="JMV62" s="10"/>
      <c r="JMW62" s="10"/>
      <c r="JMX62" s="10"/>
      <c r="JMY62" s="10"/>
      <c r="JMZ62" s="10"/>
      <c r="JNA62" s="10"/>
      <c r="JNB62" s="10"/>
      <c r="JNC62" s="10"/>
      <c r="JND62" s="10"/>
      <c r="JNE62" s="10"/>
      <c r="JNF62" s="10"/>
      <c r="JNG62" s="10"/>
      <c r="JNH62" s="10"/>
      <c r="JNI62" s="10"/>
      <c r="JNJ62" s="10"/>
      <c r="JNK62" s="10"/>
      <c r="JNL62" s="10"/>
      <c r="JNM62" s="10"/>
      <c r="JNN62" s="10"/>
      <c r="JNO62" s="10"/>
      <c r="JNP62" s="10"/>
      <c r="JNQ62" s="10"/>
      <c r="JNR62" s="10"/>
      <c r="JNS62" s="10"/>
      <c r="JNT62" s="10"/>
      <c r="JNU62" s="10"/>
      <c r="JNV62" s="10"/>
      <c r="JNW62" s="10"/>
      <c r="JNX62" s="10"/>
      <c r="JNY62" s="10"/>
      <c r="JNZ62" s="10"/>
      <c r="JOA62" s="10"/>
      <c r="JOB62" s="10"/>
      <c r="JOC62" s="10"/>
      <c r="JOD62" s="10"/>
      <c r="JOE62" s="10"/>
      <c r="JOF62" s="10"/>
      <c r="JOG62" s="10"/>
      <c r="JOH62" s="10"/>
      <c r="JOI62" s="10"/>
      <c r="JOJ62" s="10"/>
      <c r="JOK62" s="10"/>
      <c r="JOL62" s="10"/>
      <c r="JOM62" s="10"/>
      <c r="JON62" s="10"/>
      <c r="JOO62" s="10"/>
      <c r="JOP62" s="10"/>
      <c r="JOQ62" s="10"/>
      <c r="JOR62" s="10"/>
      <c r="JOS62" s="10"/>
      <c r="JOT62" s="10"/>
      <c r="JOU62" s="10"/>
      <c r="JOV62" s="10"/>
      <c r="JOW62" s="10"/>
      <c r="JOX62" s="10"/>
      <c r="JOY62" s="10"/>
      <c r="JOZ62" s="10"/>
      <c r="JPA62" s="10"/>
      <c r="JPB62" s="10"/>
      <c r="JPC62" s="10"/>
      <c r="JPD62" s="10"/>
      <c r="JPE62" s="10"/>
      <c r="JPF62" s="10"/>
      <c r="JPG62" s="10"/>
      <c r="JPH62" s="10"/>
      <c r="JPI62" s="10"/>
      <c r="JPJ62" s="10"/>
      <c r="JPK62" s="10"/>
      <c r="JPL62" s="10"/>
      <c r="JPM62" s="10"/>
      <c r="JPN62" s="10"/>
      <c r="JPO62" s="10"/>
      <c r="JPP62" s="10"/>
      <c r="JPQ62" s="10"/>
      <c r="JPR62" s="10"/>
      <c r="JPS62" s="10"/>
      <c r="JPT62" s="10"/>
      <c r="JPU62" s="10"/>
      <c r="JPV62" s="10"/>
      <c r="JPW62" s="10"/>
      <c r="JPX62" s="10"/>
      <c r="JPY62" s="10"/>
      <c r="JPZ62" s="10"/>
      <c r="JQA62" s="10"/>
      <c r="JQB62" s="10"/>
      <c r="JQC62" s="10"/>
      <c r="JQD62" s="10"/>
      <c r="JQE62" s="10"/>
      <c r="JQF62" s="10"/>
      <c r="JQG62" s="10"/>
      <c r="JQH62" s="10"/>
      <c r="JQI62" s="10"/>
      <c r="JQJ62" s="10"/>
      <c r="JQK62" s="10"/>
      <c r="JQL62" s="10"/>
      <c r="JQM62" s="10"/>
      <c r="JQN62" s="10"/>
      <c r="JQO62" s="10"/>
      <c r="JQP62" s="10"/>
      <c r="JQQ62" s="10"/>
      <c r="JQR62" s="10"/>
      <c r="JQS62" s="10"/>
      <c r="JQT62" s="10"/>
      <c r="JQU62" s="10"/>
      <c r="JQV62" s="10"/>
      <c r="JQW62" s="10"/>
      <c r="JQX62" s="10"/>
      <c r="JQY62" s="10"/>
      <c r="JQZ62" s="10"/>
      <c r="JRA62" s="10"/>
      <c r="JRB62" s="10"/>
      <c r="JRC62" s="10"/>
      <c r="JRD62" s="10"/>
      <c r="JRE62" s="10"/>
      <c r="JRF62" s="10"/>
      <c r="JRG62" s="10"/>
      <c r="JRH62" s="10"/>
      <c r="JRI62" s="10"/>
      <c r="JRJ62" s="10"/>
      <c r="JRK62" s="10"/>
      <c r="JRL62" s="10"/>
      <c r="JRM62" s="10"/>
      <c r="JRN62" s="10"/>
      <c r="JRO62" s="10"/>
      <c r="JRP62" s="10"/>
      <c r="JRQ62" s="10"/>
      <c r="JRR62" s="10"/>
      <c r="JRS62" s="10"/>
      <c r="JRT62" s="10"/>
      <c r="JRU62" s="10"/>
      <c r="JRV62" s="10"/>
      <c r="JRW62" s="10"/>
      <c r="JRX62" s="10"/>
      <c r="JRY62" s="10"/>
      <c r="JRZ62" s="10"/>
      <c r="JSA62" s="10"/>
      <c r="JSB62" s="10"/>
      <c r="JSC62" s="10"/>
      <c r="JSD62" s="10"/>
      <c r="JSE62" s="10"/>
      <c r="JSF62" s="10"/>
      <c r="JSG62" s="10"/>
      <c r="JSH62" s="10"/>
      <c r="JSI62" s="10"/>
      <c r="JSJ62" s="10"/>
      <c r="JSK62" s="10"/>
      <c r="JSL62" s="10"/>
      <c r="JSM62" s="10"/>
      <c r="JSN62" s="10"/>
      <c r="JSO62" s="10"/>
      <c r="JSP62" s="10"/>
      <c r="JSQ62" s="10"/>
      <c r="JSR62" s="10"/>
      <c r="JSS62" s="10"/>
      <c r="JST62" s="10"/>
      <c r="JSU62" s="10"/>
      <c r="JSV62" s="10"/>
      <c r="JSW62" s="10"/>
      <c r="JSX62" s="10"/>
      <c r="JSY62" s="10"/>
      <c r="JSZ62" s="10"/>
      <c r="JTA62" s="10"/>
      <c r="JTB62" s="10"/>
      <c r="JTC62" s="10"/>
      <c r="JTD62" s="10"/>
      <c r="JTE62" s="10"/>
      <c r="JTF62" s="10"/>
      <c r="JTG62" s="10"/>
      <c r="JTH62" s="10"/>
      <c r="JTI62" s="10"/>
      <c r="JTJ62" s="10"/>
      <c r="JTK62" s="10"/>
      <c r="JTL62" s="10"/>
      <c r="JTM62" s="10"/>
      <c r="JTN62" s="10"/>
      <c r="JTO62" s="10"/>
      <c r="JTP62" s="10"/>
      <c r="JTQ62" s="10"/>
      <c r="JTR62" s="10"/>
      <c r="JTS62" s="10"/>
      <c r="JTT62" s="10"/>
      <c r="JTU62" s="10"/>
      <c r="JTV62" s="10"/>
      <c r="JTW62" s="10"/>
      <c r="JTX62" s="10"/>
      <c r="JTY62" s="10"/>
      <c r="JTZ62" s="10"/>
      <c r="JUA62" s="10"/>
      <c r="JUB62" s="10"/>
      <c r="JUC62" s="10"/>
      <c r="JUD62" s="10"/>
      <c r="JUE62" s="10"/>
      <c r="JUF62" s="10"/>
      <c r="JUG62" s="10"/>
      <c r="JUH62" s="10"/>
      <c r="JUI62" s="10"/>
      <c r="JUJ62" s="10"/>
      <c r="JUK62" s="10"/>
      <c r="JUL62" s="10"/>
      <c r="JUM62" s="10"/>
      <c r="JUN62" s="10"/>
      <c r="JUO62" s="10"/>
      <c r="JUP62" s="10"/>
      <c r="JUQ62" s="10"/>
      <c r="JUR62" s="10"/>
      <c r="JUS62" s="10"/>
      <c r="JUT62" s="10"/>
      <c r="JUU62" s="10"/>
      <c r="JUV62" s="10"/>
      <c r="JUW62" s="10"/>
      <c r="JUX62" s="10"/>
      <c r="JUY62" s="10"/>
      <c r="JUZ62" s="10"/>
      <c r="JVA62" s="10"/>
      <c r="JVB62" s="10"/>
      <c r="JVC62" s="10"/>
      <c r="JVD62" s="10"/>
      <c r="JVE62" s="10"/>
      <c r="JVF62" s="10"/>
      <c r="JVG62" s="10"/>
      <c r="JVH62" s="10"/>
      <c r="JVI62" s="10"/>
      <c r="JVJ62" s="10"/>
      <c r="JVK62" s="10"/>
      <c r="JVL62" s="10"/>
      <c r="JVM62" s="10"/>
      <c r="JVN62" s="10"/>
      <c r="JVO62" s="10"/>
      <c r="JVP62" s="10"/>
      <c r="JVQ62" s="10"/>
      <c r="JVR62" s="10"/>
      <c r="JVS62" s="10"/>
      <c r="JVT62" s="10"/>
      <c r="JVU62" s="10"/>
      <c r="JVV62" s="10"/>
      <c r="JVW62" s="10"/>
      <c r="JVX62" s="10"/>
      <c r="JVY62" s="10"/>
      <c r="JVZ62" s="10"/>
      <c r="JWA62" s="10"/>
      <c r="JWB62" s="10"/>
      <c r="JWC62" s="10"/>
      <c r="JWD62" s="10"/>
      <c r="JWE62" s="10"/>
      <c r="JWF62" s="10"/>
      <c r="JWG62" s="10"/>
      <c r="JWH62" s="10"/>
      <c r="JWI62" s="10"/>
      <c r="JWJ62" s="10"/>
      <c r="JWK62" s="10"/>
      <c r="JWL62" s="10"/>
      <c r="JWM62" s="10"/>
      <c r="JWN62" s="10"/>
      <c r="JWO62" s="10"/>
      <c r="JWP62" s="10"/>
      <c r="JWQ62" s="10"/>
      <c r="JWR62" s="10"/>
      <c r="JWS62" s="10"/>
      <c r="JWT62" s="10"/>
      <c r="JWU62" s="10"/>
      <c r="JWV62" s="10"/>
      <c r="JWW62" s="10"/>
      <c r="JWX62" s="10"/>
      <c r="JWY62" s="10"/>
      <c r="JWZ62" s="10"/>
      <c r="JXA62" s="10"/>
      <c r="JXB62" s="10"/>
      <c r="JXC62" s="10"/>
      <c r="JXD62" s="10"/>
      <c r="JXE62" s="10"/>
      <c r="JXF62" s="10"/>
      <c r="JXG62" s="10"/>
      <c r="JXH62" s="10"/>
      <c r="JXI62" s="10"/>
      <c r="JXJ62" s="10"/>
      <c r="JXK62" s="10"/>
      <c r="JXL62" s="10"/>
      <c r="JXM62" s="10"/>
      <c r="JXN62" s="10"/>
      <c r="JXO62" s="10"/>
      <c r="JXP62" s="10"/>
      <c r="JXQ62" s="10"/>
      <c r="JXR62" s="10"/>
      <c r="JXS62" s="10"/>
      <c r="JXT62" s="10"/>
      <c r="JXU62" s="10"/>
      <c r="JXV62" s="10"/>
      <c r="JXW62" s="10"/>
      <c r="JXX62" s="10"/>
      <c r="JXY62" s="10"/>
      <c r="JXZ62" s="10"/>
      <c r="JYA62" s="10"/>
      <c r="JYB62" s="10"/>
      <c r="JYC62" s="10"/>
      <c r="JYD62" s="10"/>
      <c r="JYE62" s="10"/>
      <c r="JYF62" s="10"/>
      <c r="JYG62" s="10"/>
      <c r="JYH62" s="10"/>
      <c r="JYI62" s="10"/>
      <c r="JYJ62" s="10"/>
      <c r="JYK62" s="10"/>
      <c r="JYL62" s="10"/>
      <c r="JYM62" s="10"/>
      <c r="JYN62" s="10"/>
      <c r="JYO62" s="10"/>
      <c r="JYP62" s="10"/>
      <c r="JYQ62" s="10"/>
      <c r="JYR62" s="10"/>
      <c r="JYS62" s="10"/>
      <c r="JYT62" s="10"/>
      <c r="JYU62" s="10"/>
      <c r="JYV62" s="10"/>
      <c r="JYW62" s="10"/>
      <c r="JYX62" s="10"/>
      <c r="JYY62" s="10"/>
      <c r="JYZ62" s="10"/>
      <c r="JZA62" s="10"/>
      <c r="JZB62" s="10"/>
      <c r="JZC62" s="10"/>
      <c r="JZD62" s="10"/>
      <c r="JZE62" s="10"/>
      <c r="JZF62" s="10"/>
      <c r="JZG62" s="10"/>
      <c r="JZH62" s="10"/>
      <c r="JZI62" s="10"/>
      <c r="JZJ62" s="10"/>
      <c r="JZK62" s="10"/>
      <c r="JZL62" s="10"/>
      <c r="JZM62" s="10"/>
      <c r="JZN62" s="10"/>
      <c r="JZO62" s="10"/>
      <c r="JZP62" s="10"/>
      <c r="JZQ62" s="10"/>
      <c r="JZR62" s="10"/>
      <c r="JZS62" s="10"/>
      <c r="JZT62" s="10"/>
      <c r="JZU62" s="10"/>
      <c r="JZV62" s="10"/>
      <c r="JZW62" s="10"/>
      <c r="JZX62" s="10"/>
      <c r="JZY62" s="10"/>
      <c r="JZZ62" s="10"/>
      <c r="KAA62" s="10"/>
      <c r="KAB62" s="10"/>
      <c r="KAC62" s="10"/>
      <c r="KAD62" s="10"/>
      <c r="KAE62" s="10"/>
      <c r="KAF62" s="10"/>
      <c r="KAG62" s="10"/>
      <c r="KAH62" s="10"/>
      <c r="KAI62" s="10"/>
      <c r="KAJ62" s="10"/>
      <c r="KAK62" s="10"/>
      <c r="KAL62" s="10"/>
      <c r="KAM62" s="10"/>
      <c r="KAN62" s="10"/>
      <c r="KAO62" s="10"/>
      <c r="KAP62" s="10"/>
      <c r="KAQ62" s="10"/>
      <c r="KAR62" s="10"/>
      <c r="KAS62" s="10"/>
      <c r="KAT62" s="10"/>
      <c r="KAU62" s="10"/>
      <c r="KAV62" s="10"/>
      <c r="KAW62" s="10"/>
      <c r="KAX62" s="10"/>
      <c r="KAY62" s="10"/>
      <c r="KAZ62" s="10"/>
      <c r="KBA62" s="10"/>
      <c r="KBB62" s="10"/>
      <c r="KBC62" s="10"/>
      <c r="KBD62" s="10"/>
      <c r="KBE62" s="10"/>
      <c r="KBF62" s="10"/>
      <c r="KBG62" s="10"/>
      <c r="KBH62" s="10"/>
      <c r="KBI62" s="10"/>
      <c r="KBJ62" s="10"/>
      <c r="KBK62" s="10"/>
      <c r="KBL62" s="10"/>
      <c r="KBM62" s="10"/>
      <c r="KBN62" s="10"/>
      <c r="KBO62" s="10"/>
      <c r="KBP62" s="10"/>
      <c r="KBQ62" s="10"/>
      <c r="KBR62" s="10"/>
      <c r="KBS62" s="10"/>
      <c r="KBT62" s="10"/>
      <c r="KBU62" s="10"/>
      <c r="KBV62" s="10"/>
      <c r="KBW62" s="10"/>
      <c r="KBX62" s="10"/>
      <c r="KBY62" s="10"/>
      <c r="KBZ62" s="10"/>
      <c r="KCA62" s="10"/>
      <c r="KCB62" s="10"/>
      <c r="KCC62" s="10"/>
      <c r="KCD62" s="10"/>
      <c r="KCE62" s="10"/>
      <c r="KCF62" s="10"/>
      <c r="KCG62" s="10"/>
      <c r="KCH62" s="10"/>
      <c r="KCI62" s="10"/>
      <c r="KCJ62" s="10"/>
      <c r="KCK62" s="10"/>
      <c r="KCL62" s="10"/>
      <c r="KCM62" s="10"/>
      <c r="KCN62" s="10"/>
      <c r="KCO62" s="10"/>
      <c r="KCP62" s="10"/>
      <c r="KCQ62" s="10"/>
      <c r="KCR62" s="10"/>
      <c r="KCS62" s="10"/>
      <c r="KCT62" s="10"/>
      <c r="KCU62" s="10"/>
      <c r="KCV62" s="10"/>
      <c r="KCW62" s="10"/>
      <c r="KCX62" s="10"/>
      <c r="KCY62" s="10"/>
      <c r="KCZ62" s="10"/>
      <c r="KDA62" s="10"/>
      <c r="KDB62" s="10"/>
      <c r="KDC62" s="10"/>
      <c r="KDD62" s="10"/>
      <c r="KDE62" s="10"/>
      <c r="KDF62" s="10"/>
      <c r="KDG62" s="10"/>
      <c r="KDH62" s="10"/>
      <c r="KDI62" s="10"/>
      <c r="KDJ62" s="10"/>
      <c r="KDK62" s="10"/>
      <c r="KDL62" s="10"/>
      <c r="KDM62" s="10"/>
      <c r="KDN62" s="10"/>
      <c r="KDO62" s="10"/>
      <c r="KDP62" s="10"/>
      <c r="KDQ62" s="10"/>
      <c r="KDR62" s="10"/>
      <c r="KDS62" s="10"/>
      <c r="KDT62" s="10"/>
      <c r="KDU62" s="10"/>
      <c r="KDV62" s="10"/>
      <c r="KDW62" s="10"/>
      <c r="KDX62" s="10"/>
      <c r="KDY62" s="10"/>
      <c r="KDZ62" s="10"/>
      <c r="KEA62" s="10"/>
      <c r="KEB62" s="10"/>
      <c r="KEC62" s="10"/>
      <c r="KED62" s="10"/>
      <c r="KEE62" s="10"/>
      <c r="KEF62" s="10"/>
      <c r="KEG62" s="10"/>
      <c r="KEH62" s="10"/>
      <c r="KEI62" s="10"/>
      <c r="KEJ62" s="10"/>
      <c r="KEK62" s="10"/>
      <c r="KEL62" s="10"/>
      <c r="KEM62" s="10"/>
      <c r="KEN62" s="10"/>
      <c r="KEO62" s="10"/>
      <c r="KEP62" s="10"/>
      <c r="KEQ62" s="10"/>
      <c r="KER62" s="10"/>
      <c r="KES62" s="10"/>
      <c r="KET62" s="10"/>
      <c r="KEU62" s="10"/>
      <c r="KEV62" s="10"/>
      <c r="KEW62" s="10"/>
      <c r="KEX62" s="10"/>
      <c r="KEY62" s="10"/>
      <c r="KEZ62" s="10"/>
      <c r="KFA62" s="10"/>
      <c r="KFB62" s="10"/>
      <c r="KFC62" s="10"/>
      <c r="KFD62" s="10"/>
      <c r="KFE62" s="10"/>
      <c r="KFF62" s="10"/>
      <c r="KFG62" s="10"/>
      <c r="KFH62" s="10"/>
      <c r="KFI62" s="10"/>
      <c r="KFJ62" s="10"/>
      <c r="KFK62" s="10"/>
      <c r="KFL62" s="10"/>
      <c r="KFM62" s="10"/>
      <c r="KFN62" s="10"/>
      <c r="KFO62" s="10"/>
      <c r="KFP62" s="10"/>
      <c r="KFQ62" s="10"/>
      <c r="KFR62" s="10"/>
      <c r="KFS62" s="10"/>
      <c r="KFT62" s="10"/>
      <c r="KFU62" s="10"/>
      <c r="KFV62" s="10"/>
      <c r="KFW62" s="10"/>
      <c r="KFX62" s="10"/>
      <c r="KFY62" s="10"/>
      <c r="KFZ62" s="10"/>
      <c r="KGA62" s="10"/>
      <c r="KGB62" s="10"/>
      <c r="KGC62" s="10"/>
      <c r="KGD62" s="10"/>
      <c r="KGE62" s="10"/>
      <c r="KGF62" s="10"/>
      <c r="KGG62" s="10"/>
      <c r="KGH62" s="10"/>
      <c r="KGI62" s="10"/>
      <c r="KGJ62" s="10"/>
      <c r="KGK62" s="10"/>
      <c r="KGL62" s="10"/>
      <c r="KGM62" s="10"/>
      <c r="KGN62" s="10"/>
      <c r="KGO62" s="10"/>
      <c r="KGP62" s="10"/>
      <c r="KGQ62" s="10"/>
      <c r="KGR62" s="10"/>
      <c r="KGS62" s="10"/>
      <c r="KGT62" s="10"/>
      <c r="KGU62" s="10"/>
      <c r="KGV62" s="10"/>
      <c r="KGW62" s="10"/>
      <c r="KGX62" s="10"/>
      <c r="KGY62" s="10"/>
      <c r="KGZ62" s="10"/>
      <c r="KHA62" s="10"/>
      <c r="KHB62" s="10"/>
      <c r="KHC62" s="10"/>
      <c r="KHD62" s="10"/>
      <c r="KHE62" s="10"/>
      <c r="KHF62" s="10"/>
      <c r="KHG62" s="10"/>
      <c r="KHH62" s="10"/>
      <c r="KHI62" s="10"/>
      <c r="KHJ62" s="10"/>
      <c r="KHK62" s="10"/>
      <c r="KHL62" s="10"/>
      <c r="KHM62" s="10"/>
      <c r="KHN62" s="10"/>
      <c r="KHO62" s="10"/>
      <c r="KHP62" s="10"/>
      <c r="KHQ62" s="10"/>
      <c r="KHR62" s="10"/>
      <c r="KHS62" s="10"/>
      <c r="KHT62" s="10"/>
      <c r="KHU62" s="10"/>
      <c r="KHV62" s="10"/>
      <c r="KHW62" s="10"/>
      <c r="KHX62" s="10"/>
      <c r="KHY62" s="10"/>
      <c r="KHZ62" s="10"/>
      <c r="KIA62" s="10"/>
      <c r="KIB62" s="10"/>
      <c r="KIC62" s="10"/>
      <c r="KID62" s="10"/>
      <c r="KIE62" s="10"/>
      <c r="KIF62" s="10"/>
      <c r="KIG62" s="10"/>
      <c r="KIH62" s="10"/>
      <c r="KII62" s="10"/>
      <c r="KIJ62" s="10"/>
      <c r="KIK62" s="10"/>
      <c r="KIL62" s="10"/>
      <c r="KIM62" s="10"/>
      <c r="KIN62" s="10"/>
      <c r="KIO62" s="10"/>
      <c r="KIP62" s="10"/>
      <c r="KIQ62" s="10"/>
      <c r="KIR62" s="10"/>
      <c r="KIS62" s="10"/>
      <c r="KIT62" s="10"/>
      <c r="KIU62" s="10"/>
      <c r="KIV62" s="10"/>
      <c r="KIW62" s="10"/>
      <c r="KIX62" s="10"/>
      <c r="KIY62" s="10"/>
      <c r="KIZ62" s="10"/>
      <c r="KJA62" s="10"/>
      <c r="KJB62" s="10"/>
      <c r="KJC62" s="10"/>
      <c r="KJD62" s="10"/>
      <c r="KJE62" s="10"/>
      <c r="KJF62" s="10"/>
      <c r="KJG62" s="10"/>
      <c r="KJH62" s="10"/>
      <c r="KJI62" s="10"/>
      <c r="KJJ62" s="10"/>
      <c r="KJK62" s="10"/>
      <c r="KJL62" s="10"/>
      <c r="KJM62" s="10"/>
      <c r="KJN62" s="10"/>
      <c r="KJO62" s="10"/>
      <c r="KJP62" s="10"/>
      <c r="KJQ62" s="10"/>
      <c r="KJR62" s="10"/>
      <c r="KJS62" s="10"/>
      <c r="KJT62" s="10"/>
      <c r="KJU62" s="10"/>
      <c r="KJV62" s="10"/>
      <c r="KJW62" s="10"/>
      <c r="KJX62" s="10"/>
      <c r="KJY62" s="10"/>
      <c r="KJZ62" s="10"/>
      <c r="KKA62" s="10"/>
      <c r="KKB62" s="10"/>
      <c r="KKC62" s="10"/>
      <c r="KKD62" s="10"/>
      <c r="KKE62" s="10"/>
      <c r="KKF62" s="10"/>
      <c r="KKG62" s="10"/>
      <c r="KKH62" s="10"/>
      <c r="KKI62" s="10"/>
      <c r="KKJ62" s="10"/>
      <c r="KKK62" s="10"/>
      <c r="KKL62" s="10"/>
      <c r="KKM62" s="10"/>
      <c r="KKN62" s="10"/>
      <c r="KKO62" s="10"/>
      <c r="KKP62" s="10"/>
      <c r="KKQ62" s="10"/>
      <c r="KKR62" s="10"/>
      <c r="KKS62" s="10"/>
      <c r="KKT62" s="10"/>
      <c r="KKU62" s="10"/>
      <c r="KKV62" s="10"/>
      <c r="KKW62" s="10"/>
      <c r="KKX62" s="10"/>
      <c r="KKY62" s="10"/>
      <c r="KKZ62" s="10"/>
      <c r="KLA62" s="10"/>
      <c r="KLB62" s="10"/>
      <c r="KLC62" s="10"/>
      <c r="KLD62" s="10"/>
      <c r="KLE62" s="10"/>
      <c r="KLF62" s="10"/>
      <c r="KLG62" s="10"/>
      <c r="KLH62" s="10"/>
      <c r="KLI62" s="10"/>
      <c r="KLJ62" s="10"/>
      <c r="KLK62" s="10"/>
      <c r="KLL62" s="10"/>
      <c r="KLM62" s="10"/>
      <c r="KLN62" s="10"/>
      <c r="KLO62" s="10"/>
      <c r="KLP62" s="10"/>
      <c r="KLQ62" s="10"/>
      <c r="KLR62" s="10"/>
      <c r="KLS62" s="10"/>
      <c r="KLT62" s="10"/>
      <c r="KLU62" s="10"/>
      <c r="KLV62" s="10"/>
      <c r="KLW62" s="10"/>
      <c r="KLX62" s="10"/>
      <c r="KLY62" s="10"/>
      <c r="KLZ62" s="10"/>
      <c r="KMA62" s="10"/>
      <c r="KMB62" s="10"/>
      <c r="KMC62" s="10"/>
      <c r="KMD62" s="10"/>
      <c r="KME62" s="10"/>
      <c r="KMF62" s="10"/>
      <c r="KMG62" s="10"/>
      <c r="KMH62" s="10"/>
      <c r="KMI62" s="10"/>
      <c r="KMJ62" s="10"/>
      <c r="KMK62" s="10"/>
      <c r="KML62" s="10"/>
      <c r="KMM62" s="10"/>
      <c r="KMN62" s="10"/>
      <c r="KMO62" s="10"/>
      <c r="KMP62" s="10"/>
      <c r="KMQ62" s="10"/>
      <c r="KMR62" s="10"/>
      <c r="KMS62" s="10"/>
      <c r="KMT62" s="10"/>
      <c r="KMU62" s="10"/>
      <c r="KMV62" s="10"/>
      <c r="KMW62" s="10"/>
      <c r="KMX62" s="10"/>
      <c r="KMY62" s="10"/>
      <c r="KMZ62" s="10"/>
      <c r="KNA62" s="10"/>
      <c r="KNB62" s="10"/>
      <c r="KNC62" s="10"/>
      <c r="KND62" s="10"/>
      <c r="KNE62" s="10"/>
      <c r="KNF62" s="10"/>
      <c r="KNG62" s="10"/>
      <c r="KNH62" s="10"/>
      <c r="KNI62" s="10"/>
      <c r="KNJ62" s="10"/>
      <c r="KNK62" s="10"/>
      <c r="KNL62" s="10"/>
      <c r="KNM62" s="10"/>
      <c r="KNN62" s="10"/>
      <c r="KNO62" s="10"/>
      <c r="KNP62" s="10"/>
      <c r="KNQ62" s="10"/>
      <c r="KNR62" s="10"/>
      <c r="KNS62" s="10"/>
      <c r="KNT62" s="10"/>
      <c r="KNU62" s="10"/>
      <c r="KNV62" s="10"/>
      <c r="KNW62" s="10"/>
      <c r="KNX62" s="10"/>
      <c r="KNY62" s="10"/>
      <c r="KNZ62" s="10"/>
      <c r="KOA62" s="10"/>
      <c r="KOB62" s="10"/>
      <c r="KOC62" s="10"/>
      <c r="KOD62" s="10"/>
      <c r="KOE62" s="10"/>
      <c r="KOF62" s="10"/>
      <c r="KOG62" s="10"/>
      <c r="KOH62" s="10"/>
      <c r="KOI62" s="10"/>
      <c r="KOJ62" s="10"/>
      <c r="KOK62" s="10"/>
      <c r="KOL62" s="10"/>
      <c r="KOM62" s="10"/>
      <c r="KON62" s="10"/>
      <c r="KOO62" s="10"/>
      <c r="KOP62" s="10"/>
      <c r="KOQ62" s="10"/>
      <c r="KOR62" s="10"/>
      <c r="KOS62" s="10"/>
      <c r="KOT62" s="10"/>
      <c r="KOU62" s="10"/>
      <c r="KOV62" s="10"/>
      <c r="KOW62" s="10"/>
      <c r="KOX62" s="10"/>
      <c r="KOY62" s="10"/>
      <c r="KOZ62" s="10"/>
      <c r="KPA62" s="10"/>
      <c r="KPB62" s="10"/>
      <c r="KPC62" s="10"/>
      <c r="KPD62" s="10"/>
      <c r="KPE62" s="10"/>
      <c r="KPF62" s="10"/>
      <c r="KPG62" s="10"/>
      <c r="KPH62" s="10"/>
      <c r="KPI62" s="10"/>
      <c r="KPJ62" s="10"/>
      <c r="KPK62" s="10"/>
      <c r="KPL62" s="10"/>
      <c r="KPM62" s="10"/>
      <c r="KPN62" s="10"/>
      <c r="KPO62" s="10"/>
      <c r="KPP62" s="10"/>
      <c r="KPQ62" s="10"/>
      <c r="KPR62" s="10"/>
      <c r="KPS62" s="10"/>
      <c r="KPT62" s="10"/>
      <c r="KPU62" s="10"/>
      <c r="KPV62" s="10"/>
      <c r="KPW62" s="10"/>
      <c r="KPX62" s="10"/>
      <c r="KPY62" s="10"/>
      <c r="KPZ62" s="10"/>
      <c r="KQA62" s="10"/>
      <c r="KQB62" s="10"/>
      <c r="KQC62" s="10"/>
      <c r="KQD62" s="10"/>
      <c r="KQE62" s="10"/>
      <c r="KQF62" s="10"/>
      <c r="KQG62" s="10"/>
      <c r="KQH62" s="10"/>
      <c r="KQI62" s="10"/>
      <c r="KQJ62" s="10"/>
      <c r="KQK62" s="10"/>
      <c r="KQL62" s="10"/>
      <c r="KQM62" s="10"/>
      <c r="KQN62" s="10"/>
      <c r="KQO62" s="10"/>
      <c r="KQP62" s="10"/>
      <c r="KQQ62" s="10"/>
      <c r="KQR62" s="10"/>
      <c r="KQS62" s="10"/>
      <c r="KQT62" s="10"/>
      <c r="KQU62" s="10"/>
      <c r="KQV62" s="10"/>
      <c r="KQW62" s="10"/>
      <c r="KQX62" s="10"/>
      <c r="KQY62" s="10"/>
      <c r="KQZ62" s="10"/>
      <c r="KRA62" s="10"/>
      <c r="KRB62" s="10"/>
      <c r="KRC62" s="10"/>
      <c r="KRD62" s="10"/>
      <c r="KRE62" s="10"/>
      <c r="KRF62" s="10"/>
      <c r="KRG62" s="10"/>
      <c r="KRH62" s="10"/>
      <c r="KRI62" s="10"/>
      <c r="KRJ62" s="10"/>
      <c r="KRK62" s="10"/>
      <c r="KRL62" s="10"/>
      <c r="KRM62" s="10"/>
      <c r="KRN62" s="10"/>
      <c r="KRO62" s="10"/>
      <c r="KRP62" s="10"/>
      <c r="KRQ62" s="10"/>
      <c r="KRR62" s="10"/>
      <c r="KRS62" s="10"/>
      <c r="KRT62" s="10"/>
      <c r="KRU62" s="10"/>
      <c r="KRV62" s="10"/>
      <c r="KRW62" s="10"/>
      <c r="KRX62" s="10"/>
      <c r="KRY62" s="10"/>
      <c r="KRZ62" s="10"/>
      <c r="KSA62" s="10"/>
      <c r="KSB62" s="10"/>
      <c r="KSC62" s="10"/>
      <c r="KSD62" s="10"/>
      <c r="KSE62" s="10"/>
      <c r="KSF62" s="10"/>
      <c r="KSG62" s="10"/>
      <c r="KSH62" s="10"/>
      <c r="KSI62" s="10"/>
      <c r="KSJ62" s="10"/>
      <c r="KSK62" s="10"/>
      <c r="KSL62" s="10"/>
      <c r="KSM62" s="10"/>
      <c r="KSN62" s="10"/>
      <c r="KSO62" s="10"/>
      <c r="KSP62" s="10"/>
      <c r="KSQ62" s="10"/>
      <c r="KSR62" s="10"/>
      <c r="KSS62" s="10"/>
      <c r="KST62" s="10"/>
      <c r="KSU62" s="10"/>
      <c r="KSV62" s="10"/>
      <c r="KSW62" s="10"/>
      <c r="KSX62" s="10"/>
      <c r="KSY62" s="10"/>
      <c r="KSZ62" s="10"/>
      <c r="KTA62" s="10"/>
      <c r="KTB62" s="10"/>
      <c r="KTC62" s="10"/>
      <c r="KTD62" s="10"/>
      <c r="KTE62" s="10"/>
      <c r="KTF62" s="10"/>
      <c r="KTG62" s="10"/>
      <c r="KTH62" s="10"/>
      <c r="KTI62" s="10"/>
      <c r="KTJ62" s="10"/>
      <c r="KTK62" s="10"/>
      <c r="KTL62" s="10"/>
      <c r="KTM62" s="10"/>
      <c r="KTN62" s="10"/>
      <c r="KTO62" s="10"/>
      <c r="KTP62" s="10"/>
      <c r="KTQ62" s="10"/>
      <c r="KTR62" s="10"/>
      <c r="KTS62" s="10"/>
      <c r="KTT62" s="10"/>
      <c r="KTU62" s="10"/>
      <c r="KTV62" s="10"/>
      <c r="KTW62" s="10"/>
      <c r="KTX62" s="10"/>
      <c r="KTY62" s="10"/>
      <c r="KTZ62" s="10"/>
      <c r="KUA62" s="10"/>
      <c r="KUB62" s="10"/>
      <c r="KUC62" s="10"/>
      <c r="KUD62" s="10"/>
      <c r="KUE62" s="10"/>
      <c r="KUF62" s="10"/>
      <c r="KUG62" s="10"/>
      <c r="KUH62" s="10"/>
      <c r="KUI62" s="10"/>
      <c r="KUJ62" s="10"/>
      <c r="KUK62" s="10"/>
      <c r="KUL62" s="10"/>
      <c r="KUM62" s="10"/>
      <c r="KUN62" s="10"/>
      <c r="KUO62" s="10"/>
      <c r="KUP62" s="10"/>
      <c r="KUQ62" s="10"/>
      <c r="KUR62" s="10"/>
      <c r="KUS62" s="10"/>
      <c r="KUT62" s="10"/>
      <c r="KUU62" s="10"/>
      <c r="KUV62" s="10"/>
      <c r="KUW62" s="10"/>
      <c r="KUX62" s="10"/>
      <c r="KUY62" s="10"/>
      <c r="KUZ62" s="10"/>
      <c r="KVA62" s="10"/>
      <c r="KVB62" s="10"/>
      <c r="KVC62" s="10"/>
      <c r="KVD62" s="10"/>
      <c r="KVE62" s="10"/>
      <c r="KVF62" s="10"/>
      <c r="KVG62" s="10"/>
      <c r="KVH62" s="10"/>
      <c r="KVI62" s="10"/>
      <c r="KVJ62" s="10"/>
      <c r="KVK62" s="10"/>
      <c r="KVL62" s="10"/>
      <c r="KVM62" s="10"/>
      <c r="KVN62" s="10"/>
      <c r="KVO62" s="10"/>
      <c r="KVP62" s="10"/>
      <c r="KVQ62" s="10"/>
      <c r="KVR62" s="10"/>
      <c r="KVS62" s="10"/>
      <c r="KVT62" s="10"/>
      <c r="KVU62" s="10"/>
      <c r="KVV62" s="10"/>
      <c r="KVW62" s="10"/>
      <c r="KVX62" s="10"/>
      <c r="KVY62" s="10"/>
      <c r="KVZ62" s="10"/>
      <c r="KWA62" s="10"/>
      <c r="KWB62" s="10"/>
      <c r="KWC62" s="10"/>
      <c r="KWD62" s="10"/>
      <c r="KWE62" s="10"/>
      <c r="KWF62" s="10"/>
      <c r="KWG62" s="10"/>
      <c r="KWH62" s="10"/>
      <c r="KWI62" s="10"/>
      <c r="KWJ62" s="10"/>
      <c r="KWK62" s="10"/>
      <c r="KWL62" s="10"/>
      <c r="KWM62" s="10"/>
      <c r="KWN62" s="10"/>
      <c r="KWO62" s="10"/>
      <c r="KWP62" s="10"/>
      <c r="KWQ62" s="10"/>
      <c r="KWR62" s="10"/>
      <c r="KWS62" s="10"/>
      <c r="KWT62" s="10"/>
      <c r="KWU62" s="10"/>
      <c r="KWV62" s="10"/>
      <c r="KWW62" s="10"/>
      <c r="KWX62" s="10"/>
      <c r="KWY62" s="10"/>
      <c r="KWZ62" s="10"/>
      <c r="KXA62" s="10"/>
      <c r="KXB62" s="10"/>
      <c r="KXC62" s="10"/>
      <c r="KXD62" s="10"/>
      <c r="KXE62" s="10"/>
      <c r="KXF62" s="10"/>
      <c r="KXG62" s="10"/>
      <c r="KXH62" s="10"/>
      <c r="KXI62" s="10"/>
      <c r="KXJ62" s="10"/>
      <c r="KXK62" s="10"/>
      <c r="KXL62" s="10"/>
      <c r="KXM62" s="10"/>
      <c r="KXN62" s="10"/>
      <c r="KXO62" s="10"/>
      <c r="KXP62" s="10"/>
      <c r="KXQ62" s="10"/>
      <c r="KXR62" s="10"/>
      <c r="KXS62" s="10"/>
      <c r="KXT62" s="10"/>
      <c r="KXU62" s="10"/>
      <c r="KXV62" s="10"/>
      <c r="KXW62" s="10"/>
      <c r="KXX62" s="10"/>
      <c r="KXY62" s="10"/>
      <c r="KXZ62" s="10"/>
      <c r="KYA62" s="10"/>
      <c r="KYB62" s="10"/>
      <c r="KYC62" s="10"/>
      <c r="KYD62" s="10"/>
      <c r="KYE62" s="10"/>
      <c r="KYF62" s="10"/>
      <c r="KYG62" s="10"/>
      <c r="KYH62" s="10"/>
      <c r="KYI62" s="10"/>
      <c r="KYJ62" s="10"/>
      <c r="KYK62" s="10"/>
      <c r="KYL62" s="10"/>
      <c r="KYM62" s="10"/>
      <c r="KYN62" s="10"/>
      <c r="KYO62" s="10"/>
      <c r="KYP62" s="10"/>
      <c r="KYQ62" s="10"/>
      <c r="KYR62" s="10"/>
      <c r="KYS62" s="10"/>
      <c r="KYT62" s="10"/>
      <c r="KYU62" s="10"/>
      <c r="KYV62" s="10"/>
      <c r="KYW62" s="10"/>
      <c r="KYX62" s="10"/>
      <c r="KYY62" s="10"/>
      <c r="KYZ62" s="10"/>
      <c r="KZA62" s="10"/>
      <c r="KZB62" s="10"/>
      <c r="KZC62" s="10"/>
      <c r="KZD62" s="10"/>
      <c r="KZE62" s="10"/>
      <c r="KZF62" s="10"/>
      <c r="KZG62" s="10"/>
      <c r="KZH62" s="10"/>
      <c r="KZI62" s="10"/>
      <c r="KZJ62" s="10"/>
      <c r="KZK62" s="10"/>
      <c r="KZL62" s="10"/>
      <c r="KZM62" s="10"/>
      <c r="KZN62" s="10"/>
      <c r="KZO62" s="10"/>
      <c r="KZP62" s="10"/>
      <c r="KZQ62" s="10"/>
      <c r="KZR62" s="10"/>
      <c r="KZS62" s="10"/>
      <c r="KZT62" s="10"/>
      <c r="KZU62" s="10"/>
      <c r="KZV62" s="10"/>
      <c r="KZW62" s="10"/>
      <c r="KZX62" s="10"/>
      <c r="KZY62" s="10"/>
      <c r="KZZ62" s="10"/>
      <c r="LAA62" s="10"/>
      <c r="LAB62" s="10"/>
      <c r="LAC62" s="10"/>
      <c r="LAD62" s="10"/>
      <c r="LAE62" s="10"/>
      <c r="LAF62" s="10"/>
      <c r="LAG62" s="10"/>
      <c r="LAH62" s="10"/>
      <c r="LAI62" s="10"/>
      <c r="LAJ62" s="10"/>
      <c r="LAK62" s="10"/>
      <c r="LAL62" s="10"/>
      <c r="LAM62" s="10"/>
      <c r="LAN62" s="10"/>
      <c r="LAO62" s="10"/>
      <c r="LAP62" s="10"/>
      <c r="LAQ62" s="10"/>
      <c r="LAR62" s="10"/>
      <c r="LAS62" s="10"/>
      <c r="LAT62" s="10"/>
      <c r="LAU62" s="10"/>
      <c r="LAV62" s="10"/>
      <c r="LAW62" s="10"/>
      <c r="LAX62" s="10"/>
      <c r="LAY62" s="10"/>
      <c r="LAZ62" s="10"/>
      <c r="LBA62" s="10"/>
      <c r="LBB62" s="10"/>
      <c r="LBC62" s="10"/>
      <c r="LBD62" s="10"/>
      <c r="LBE62" s="10"/>
      <c r="LBF62" s="10"/>
      <c r="LBG62" s="10"/>
      <c r="LBH62" s="10"/>
      <c r="LBI62" s="10"/>
      <c r="LBJ62" s="10"/>
      <c r="LBK62" s="10"/>
      <c r="LBL62" s="10"/>
      <c r="LBM62" s="10"/>
      <c r="LBN62" s="10"/>
      <c r="LBO62" s="10"/>
      <c r="LBP62" s="10"/>
      <c r="LBQ62" s="10"/>
      <c r="LBR62" s="10"/>
      <c r="LBS62" s="10"/>
      <c r="LBT62" s="10"/>
      <c r="LBU62" s="10"/>
      <c r="LBV62" s="10"/>
      <c r="LBW62" s="10"/>
      <c r="LBX62" s="10"/>
      <c r="LBY62" s="10"/>
      <c r="LBZ62" s="10"/>
      <c r="LCA62" s="10"/>
      <c r="LCB62" s="10"/>
      <c r="LCC62" s="10"/>
      <c r="LCD62" s="10"/>
      <c r="LCE62" s="10"/>
      <c r="LCF62" s="10"/>
      <c r="LCG62" s="10"/>
      <c r="LCH62" s="10"/>
      <c r="LCI62" s="10"/>
      <c r="LCJ62" s="10"/>
      <c r="LCK62" s="10"/>
      <c r="LCL62" s="10"/>
      <c r="LCM62" s="10"/>
      <c r="LCN62" s="10"/>
      <c r="LCO62" s="10"/>
      <c r="LCP62" s="10"/>
      <c r="LCQ62" s="10"/>
      <c r="LCR62" s="10"/>
      <c r="LCS62" s="10"/>
      <c r="LCT62" s="10"/>
      <c r="LCU62" s="10"/>
      <c r="LCV62" s="10"/>
      <c r="LCW62" s="10"/>
      <c r="LCX62" s="10"/>
      <c r="LCY62" s="10"/>
      <c r="LCZ62" s="10"/>
      <c r="LDA62" s="10"/>
      <c r="LDB62" s="10"/>
      <c r="LDC62" s="10"/>
      <c r="LDD62" s="10"/>
      <c r="LDE62" s="10"/>
      <c r="LDF62" s="10"/>
      <c r="LDG62" s="10"/>
      <c r="LDH62" s="10"/>
      <c r="LDI62" s="10"/>
      <c r="LDJ62" s="10"/>
      <c r="LDK62" s="10"/>
      <c r="LDL62" s="10"/>
      <c r="LDM62" s="10"/>
      <c r="LDN62" s="10"/>
      <c r="LDO62" s="10"/>
      <c r="LDP62" s="10"/>
      <c r="LDQ62" s="10"/>
      <c r="LDR62" s="10"/>
      <c r="LDS62" s="10"/>
      <c r="LDT62" s="10"/>
      <c r="LDU62" s="10"/>
      <c r="LDV62" s="10"/>
      <c r="LDW62" s="10"/>
      <c r="LDX62" s="10"/>
      <c r="LDY62" s="10"/>
      <c r="LDZ62" s="10"/>
      <c r="LEA62" s="10"/>
      <c r="LEB62" s="10"/>
      <c r="LEC62" s="10"/>
      <c r="LED62" s="10"/>
      <c r="LEE62" s="10"/>
      <c r="LEF62" s="10"/>
      <c r="LEG62" s="10"/>
      <c r="LEH62" s="10"/>
      <c r="LEI62" s="10"/>
      <c r="LEJ62" s="10"/>
      <c r="LEK62" s="10"/>
      <c r="LEL62" s="10"/>
      <c r="LEM62" s="10"/>
      <c r="LEN62" s="10"/>
      <c r="LEO62" s="10"/>
      <c r="LEP62" s="10"/>
      <c r="LEQ62" s="10"/>
      <c r="LER62" s="10"/>
      <c r="LES62" s="10"/>
      <c r="LET62" s="10"/>
      <c r="LEU62" s="10"/>
      <c r="LEV62" s="10"/>
      <c r="LEW62" s="10"/>
      <c r="LEX62" s="10"/>
      <c r="LEY62" s="10"/>
      <c r="LEZ62" s="10"/>
      <c r="LFA62" s="10"/>
      <c r="LFB62" s="10"/>
      <c r="LFC62" s="10"/>
      <c r="LFD62" s="10"/>
      <c r="LFE62" s="10"/>
      <c r="LFF62" s="10"/>
      <c r="LFG62" s="10"/>
      <c r="LFH62" s="10"/>
      <c r="LFI62" s="10"/>
      <c r="LFJ62" s="10"/>
      <c r="LFK62" s="10"/>
      <c r="LFL62" s="10"/>
      <c r="LFM62" s="10"/>
      <c r="LFN62" s="10"/>
      <c r="LFO62" s="10"/>
      <c r="LFP62" s="10"/>
      <c r="LFQ62" s="10"/>
      <c r="LFR62" s="10"/>
      <c r="LFS62" s="10"/>
      <c r="LFT62" s="10"/>
      <c r="LFU62" s="10"/>
      <c r="LFV62" s="10"/>
      <c r="LFW62" s="10"/>
      <c r="LFX62" s="10"/>
      <c r="LFY62" s="10"/>
      <c r="LFZ62" s="10"/>
      <c r="LGA62" s="10"/>
      <c r="LGB62" s="10"/>
      <c r="LGC62" s="10"/>
      <c r="LGD62" s="10"/>
      <c r="LGE62" s="10"/>
      <c r="LGF62" s="10"/>
      <c r="LGG62" s="10"/>
      <c r="LGH62" s="10"/>
      <c r="LGI62" s="10"/>
      <c r="LGJ62" s="10"/>
      <c r="LGK62" s="10"/>
      <c r="LGL62" s="10"/>
      <c r="LGM62" s="10"/>
      <c r="LGN62" s="10"/>
      <c r="LGO62" s="10"/>
      <c r="LGP62" s="10"/>
      <c r="LGQ62" s="10"/>
      <c r="LGR62" s="10"/>
      <c r="LGS62" s="10"/>
      <c r="LGT62" s="10"/>
      <c r="LGU62" s="10"/>
      <c r="LGV62" s="10"/>
      <c r="LGW62" s="10"/>
      <c r="LGX62" s="10"/>
      <c r="LGY62" s="10"/>
      <c r="LGZ62" s="10"/>
      <c r="LHA62" s="10"/>
      <c r="LHB62" s="10"/>
      <c r="LHC62" s="10"/>
      <c r="LHD62" s="10"/>
      <c r="LHE62" s="10"/>
      <c r="LHF62" s="10"/>
      <c r="LHG62" s="10"/>
      <c r="LHH62" s="10"/>
      <c r="LHI62" s="10"/>
      <c r="LHJ62" s="10"/>
      <c r="LHK62" s="10"/>
      <c r="LHL62" s="10"/>
      <c r="LHM62" s="10"/>
      <c r="LHN62" s="10"/>
      <c r="LHO62" s="10"/>
      <c r="LHP62" s="10"/>
      <c r="LHQ62" s="10"/>
      <c r="LHR62" s="10"/>
      <c r="LHS62" s="10"/>
      <c r="LHT62" s="10"/>
      <c r="LHU62" s="10"/>
      <c r="LHV62" s="10"/>
      <c r="LHW62" s="10"/>
      <c r="LHX62" s="10"/>
      <c r="LHY62" s="10"/>
      <c r="LHZ62" s="10"/>
      <c r="LIA62" s="10"/>
      <c r="LIB62" s="10"/>
      <c r="LIC62" s="10"/>
      <c r="LID62" s="10"/>
      <c r="LIE62" s="10"/>
      <c r="LIF62" s="10"/>
      <c r="LIG62" s="10"/>
      <c r="LIH62" s="10"/>
      <c r="LII62" s="10"/>
      <c r="LIJ62" s="10"/>
      <c r="LIK62" s="10"/>
      <c r="LIL62" s="10"/>
      <c r="LIM62" s="10"/>
      <c r="LIN62" s="10"/>
      <c r="LIO62" s="10"/>
      <c r="LIP62" s="10"/>
      <c r="LIQ62" s="10"/>
      <c r="LIR62" s="10"/>
      <c r="LIS62" s="10"/>
      <c r="LIT62" s="10"/>
      <c r="LIU62" s="10"/>
      <c r="LIV62" s="10"/>
      <c r="LIW62" s="10"/>
      <c r="LIX62" s="10"/>
      <c r="LIY62" s="10"/>
      <c r="LIZ62" s="10"/>
      <c r="LJA62" s="10"/>
      <c r="LJB62" s="10"/>
      <c r="LJC62" s="10"/>
      <c r="LJD62" s="10"/>
      <c r="LJE62" s="10"/>
      <c r="LJF62" s="10"/>
      <c r="LJG62" s="10"/>
      <c r="LJH62" s="10"/>
      <c r="LJI62" s="10"/>
      <c r="LJJ62" s="10"/>
      <c r="LJK62" s="10"/>
      <c r="LJL62" s="10"/>
      <c r="LJM62" s="10"/>
      <c r="LJN62" s="10"/>
      <c r="LJO62" s="10"/>
      <c r="LJP62" s="10"/>
      <c r="LJQ62" s="10"/>
      <c r="LJR62" s="10"/>
      <c r="LJS62" s="10"/>
      <c r="LJT62" s="10"/>
      <c r="LJU62" s="10"/>
      <c r="LJV62" s="10"/>
      <c r="LJW62" s="10"/>
      <c r="LJX62" s="10"/>
      <c r="LJY62" s="10"/>
      <c r="LJZ62" s="10"/>
      <c r="LKA62" s="10"/>
      <c r="LKB62" s="10"/>
      <c r="LKC62" s="10"/>
      <c r="LKD62" s="10"/>
      <c r="LKE62" s="10"/>
      <c r="LKF62" s="10"/>
      <c r="LKG62" s="10"/>
      <c r="LKH62" s="10"/>
      <c r="LKI62" s="10"/>
      <c r="LKJ62" s="10"/>
      <c r="LKK62" s="10"/>
      <c r="LKL62" s="10"/>
      <c r="LKM62" s="10"/>
      <c r="LKN62" s="10"/>
      <c r="LKO62" s="10"/>
      <c r="LKP62" s="10"/>
      <c r="LKQ62" s="10"/>
      <c r="LKR62" s="10"/>
      <c r="LKS62" s="10"/>
      <c r="LKT62" s="10"/>
      <c r="LKU62" s="10"/>
      <c r="LKV62" s="10"/>
      <c r="LKW62" s="10"/>
      <c r="LKX62" s="10"/>
      <c r="LKY62" s="10"/>
      <c r="LKZ62" s="10"/>
      <c r="LLA62" s="10"/>
      <c r="LLB62" s="10"/>
      <c r="LLC62" s="10"/>
      <c r="LLD62" s="10"/>
      <c r="LLE62" s="10"/>
      <c r="LLF62" s="10"/>
      <c r="LLG62" s="10"/>
      <c r="LLH62" s="10"/>
      <c r="LLI62" s="10"/>
      <c r="LLJ62" s="10"/>
      <c r="LLK62" s="10"/>
      <c r="LLL62" s="10"/>
      <c r="LLM62" s="10"/>
      <c r="LLN62" s="10"/>
      <c r="LLO62" s="10"/>
      <c r="LLP62" s="10"/>
      <c r="LLQ62" s="10"/>
      <c r="LLR62" s="10"/>
      <c r="LLS62" s="10"/>
      <c r="LLT62" s="10"/>
      <c r="LLU62" s="10"/>
      <c r="LLV62" s="10"/>
      <c r="LLW62" s="10"/>
      <c r="LLX62" s="10"/>
      <c r="LLY62" s="10"/>
      <c r="LLZ62" s="10"/>
      <c r="LMA62" s="10"/>
      <c r="LMB62" s="10"/>
      <c r="LMC62" s="10"/>
      <c r="LMD62" s="10"/>
      <c r="LME62" s="10"/>
      <c r="LMF62" s="10"/>
      <c r="LMG62" s="10"/>
      <c r="LMH62" s="10"/>
      <c r="LMI62" s="10"/>
      <c r="LMJ62" s="10"/>
      <c r="LMK62" s="10"/>
      <c r="LML62" s="10"/>
      <c r="LMM62" s="10"/>
      <c r="LMN62" s="10"/>
      <c r="LMO62" s="10"/>
      <c r="LMP62" s="10"/>
      <c r="LMQ62" s="10"/>
      <c r="LMR62" s="10"/>
      <c r="LMS62" s="10"/>
      <c r="LMT62" s="10"/>
      <c r="LMU62" s="10"/>
      <c r="LMV62" s="10"/>
      <c r="LMW62" s="10"/>
      <c r="LMX62" s="10"/>
      <c r="LMY62" s="10"/>
      <c r="LMZ62" s="10"/>
      <c r="LNA62" s="10"/>
      <c r="LNB62" s="10"/>
      <c r="LNC62" s="10"/>
      <c r="LND62" s="10"/>
      <c r="LNE62" s="10"/>
      <c r="LNF62" s="10"/>
      <c r="LNG62" s="10"/>
      <c r="LNH62" s="10"/>
      <c r="LNI62" s="10"/>
      <c r="LNJ62" s="10"/>
      <c r="LNK62" s="10"/>
      <c r="LNL62" s="10"/>
      <c r="LNM62" s="10"/>
      <c r="LNN62" s="10"/>
      <c r="LNO62" s="10"/>
      <c r="LNP62" s="10"/>
      <c r="LNQ62" s="10"/>
      <c r="LNR62" s="10"/>
      <c r="LNS62" s="10"/>
      <c r="LNT62" s="10"/>
      <c r="LNU62" s="10"/>
      <c r="LNV62" s="10"/>
      <c r="LNW62" s="10"/>
      <c r="LNX62" s="10"/>
      <c r="LNY62" s="10"/>
      <c r="LNZ62" s="10"/>
      <c r="LOA62" s="10"/>
      <c r="LOB62" s="10"/>
      <c r="LOC62" s="10"/>
      <c r="LOD62" s="10"/>
      <c r="LOE62" s="10"/>
      <c r="LOF62" s="10"/>
      <c r="LOG62" s="10"/>
      <c r="LOH62" s="10"/>
      <c r="LOI62" s="10"/>
      <c r="LOJ62" s="10"/>
      <c r="LOK62" s="10"/>
      <c r="LOL62" s="10"/>
      <c r="LOM62" s="10"/>
      <c r="LON62" s="10"/>
      <c r="LOO62" s="10"/>
      <c r="LOP62" s="10"/>
      <c r="LOQ62" s="10"/>
      <c r="LOR62" s="10"/>
      <c r="LOS62" s="10"/>
      <c r="LOT62" s="10"/>
      <c r="LOU62" s="10"/>
      <c r="LOV62" s="10"/>
      <c r="LOW62" s="10"/>
      <c r="LOX62" s="10"/>
      <c r="LOY62" s="10"/>
      <c r="LOZ62" s="10"/>
      <c r="LPA62" s="10"/>
      <c r="LPB62" s="10"/>
      <c r="LPC62" s="10"/>
      <c r="LPD62" s="10"/>
      <c r="LPE62" s="10"/>
      <c r="LPF62" s="10"/>
      <c r="LPG62" s="10"/>
      <c r="LPH62" s="10"/>
      <c r="LPI62" s="10"/>
      <c r="LPJ62" s="10"/>
      <c r="LPK62" s="10"/>
      <c r="LPL62" s="10"/>
      <c r="LPM62" s="10"/>
      <c r="LPN62" s="10"/>
      <c r="LPO62" s="10"/>
      <c r="LPP62" s="10"/>
      <c r="LPQ62" s="10"/>
      <c r="LPR62" s="10"/>
      <c r="LPS62" s="10"/>
      <c r="LPT62" s="10"/>
      <c r="LPU62" s="10"/>
      <c r="LPV62" s="10"/>
      <c r="LPW62" s="10"/>
      <c r="LPX62" s="10"/>
      <c r="LPY62" s="10"/>
      <c r="LPZ62" s="10"/>
      <c r="LQA62" s="10"/>
      <c r="LQB62" s="10"/>
      <c r="LQC62" s="10"/>
      <c r="LQD62" s="10"/>
      <c r="LQE62" s="10"/>
      <c r="LQF62" s="10"/>
      <c r="LQG62" s="10"/>
      <c r="LQH62" s="10"/>
      <c r="LQI62" s="10"/>
      <c r="LQJ62" s="10"/>
      <c r="LQK62" s="10"/>
      <c r="LQL62" s="10"/>
      <c r="LQM62" s="10"/>
      <c r="LQN62" s="10"/>
      <c r="LQO62" s="10"/>
      <c r="LQP62" s="10"/>
      <c r="LQQ62" s="10"/>
      <c r="LQR62" s="10"/>
      <c r="LQS62" s="10"/>
      <c r="LQT62" s="10"/>
      <c r="LQU62" s="10"/>
      <c r="LQV62" s="10"/>
      <c r="LQW62" s="10"/>
      <c r="LQX62" s="10"/>
      <c r="LQY62" s="10"/>
      <c r="LQZ62" s="10"/>
      <c r="LRA62" s="10"/>
      <c r="LRB62" s="10"/>
      <c r="LRC62" s="10"/>
      <c r="LRD62" s="10"/>
      <c r="LRE62" s="10"/>
      <c r="LRF62" s="10"/>
      <c r="LRG62" s="10"/>
      <c r="LRH62" s="10"/>
      <c r="LRI62" s="10"/>
      <c r="LRJ62" s="10"/>
      <c r="LRK62" s="10"/>
      <c r="LRL62" s="10"/>
      <c r="LRM62" s="10"/>
      <c r="LRN62" s="10"/>
      <c r="LRO62" s="10"/>
      <c r="LRP62" s="10"/>
      <c r="LRQ62" s="10"/>
      <c r="LRR62" s="10"/>
      <c r="LRS62" s="10"/>
      <c r="LRT62" s="10"/>
      <c r="LRU62" s="10"/>
      <c r="LRV62" s="10"/>
      <c r="LRW62" s="10"/>
      <c r="LRX62" s="10"/>
      <c r="LRY62" s="10"/>
      <c r="LRZ62" s="10"/>
      <c r="LSA62" s="10"/>
      <c r="LSB62" s="10"/>
      <c r="LSC62" s="10"/>
      <c r="LSD62" s="10"/>
      <c r="LSE62" s="10"/>
      <c r="LSF62" s="10"/>
      <c r="LSG62" s="10"/>
      <c r="LSH62" s="10"/>
      <c r="LSI62" s="10"/>
      <c r="LSJ62" s="10"/>
      <c r="LSK62" s="10"/>
      <c r="LSL62" s="10"/>
      <c r="LSM62" s="10"/>
      <c r="LSN62" s="10"/>
      <c r="LSO62" s="10"/>
      <c r="LSP62" s="10"/>
      <c r="LSQ62" s="10"/>
      <c r="LSR62" s="10"/>
      <c r="LSS62" s="10"/>
      <c r="LST62" s="10"/>
      <c r="LSU62" s="10"/>
      <c r="LSV62" s="10"/>
      <c r="LSW62" s="10"/>
      <c r="LSX62" s="10"/>
      <c r="LSY62" s="10"/>
      <c r="LSZ62" s="10"/>
      <c r="LTA62" s="10"/>
      <c r="LTB62" s="10"/>
      <c r="LTC62" s="10"/>
      <c r="LTD62" s="10"/>
      <c r="LTE62" s="10"/>
      <c r="LTF62" s="10"/>
      <c r="LTG62" s="10"/>
      <c r="LTH62" s="10"/>
      <c r="LTI62" s="10"/>
      <c r="LTJ62" s="10"/>
      <c r="LTK62" s="10"/>
      <c r="LTL62" s="10"/>
      <c r="LTM62" s="10"/>
      <c r="LTN62" s="10"/>
      <c r="LTO62" s="10"/>
      <c r="LTP62" s="10"/>
      <c r="LTQ62" s="10"/>
      <c r="LTR62" s="10"/>
      <c r="LTS62" s="10"/>
      <c r="LTT62" s="10"/>
      <c r="LTU62" s="10"/>
      <c r="LTV62" s="10"/>
      <c r="LTW62" s="10"/>
      <c r="LTX62" s="10"/>
      <c r="LTY62" s="10"/>
      <c r="LTZ62" s="10"/>
      <c r="LUA62" s="10"/>
      <c r="LUB62" s="10"/>
      <c r="LUC62" s="10"/>
      <c r="LUD62" s="10"/>
      <c r="LUE62" s="10"/>
      <c r="LUF62" s="10"/>
      <c r="LUG62" s="10"/>
      <c r="LUH62" s="10"/>
      <c r="LUI62" s="10"/>
      <c r="LUJ62" s="10"/>
      <c r="LUK62" s="10"/>
      <c r="LUL62" s="10"/>
      <c r="LUM62" s="10"/>
      <c r="LUN62" s="10"/>
      <c r="LUO62" s="10"/>
      <c r="LUP62" s="10"/>
      <c r="LUQ62" s="10"/>
      <c r="LUR62" s="10"/>
      <c r="LUS62" s="10"/>
      <c r="LUT62" s="10"/>
      <c r="LUU62" s="10"/>
      <c r="LUV62" s="10"/>
      <c r="LUW62" s="10"/>
      <c r="LUX62" s="10"/>
      <c r="LUY62" s="10"/>
      <c r="LUZ62" s="10"/>
      <c r="LVA62" s="10"/>
      <c r="LVB62" s="10"/>
      <c r="LVC62" s="10"/>
      <c r="LVD62" s="10"/>
      <c r="LVE62" s="10"/>
      <c r="LVF62" s="10"/>
      <c r="LVG62" s="10"/>
      <c r="LVH62" s="10"/>
      <c r="LVI62" s="10"/>
      <c r="LVJ62" s="10"/>
      <c r="LVK62" s="10"/>
      <c r="LVL62" s="10"/>
      <c r="LVM62" s="10"/>
      <c r="LVN62" s="10"/>
      <c r="LVO62" s="10"/>
      <c r="LVP62" s="10"/>
      <c r="LVQ62" s="10"/>
      <c r="LVR62" s="10"/>
      <c r="LVS62" s="10"/>
      <c r="LVT62" s="10"/>
      <c r="LVU62" s="10"/>
      <c r="LVV62" s="10"/>
      <c r="LVW62" s="10"/>
      <c r="LVX62" s="10"/>
      <c r="LVY62" s="10"/>
      <c r="LVZ62" s="10"/>
      <c r="LWA62" s="10"/>
      <c r="LWB62" s="10"/>
      <c r="LWC62" s="10"/>
      <c r="LWD62" s="10"/>
      <c r="LWE62" s="10"/>
      <c r="LWF62" s="10"/>
      <c r="LWG62" s="10"/>
      <c r="LWH62" s="10"/>
      <c r="LWI62" s="10"/>
      <c r="LWJ62" s="10"/>
      <c r="LWK62" s="10"/>
      <c r="LWL62" s="10"/>
      <c r="LWM62" s="10"/>
      <c r="LWN62" s="10"/>
      <c r="LWO62" s="10"/>
      <c r="LWP62" s="10"/>
      <c r="LWQ62" s="10"/>
      <c r="LWR62" s="10"/>
      <c r="LWS62" s="10"/>
      <c r="LWT62" s="10"/>
      <c r="LWU62" s="10"/>
      <c r="LWV62" s="10"/>
      <c r="LWW62" s="10"/>
      <c r="LWX62" s="10"/>
      <c r="LWY62" s="10"/>
      <c r="LWZ62" s="10"/>
      <c r="LXA62" s="10"/>
      <c r="LXB62" s="10"/>
      <c r="LXC62" s="10"/>
      <c r="LXD62" s="10"/>
      <c r="LXE62" s="10"/>
      <c r="LXF62" s="10"/>
      <c r="LXG62" s="10"/>
      <c r="LXH62" s="10"/>
      <c r="LXI62" s="10"/>
      <c r="LXJ62" s="10"/>
      <c r="LXK62" s="10"/>
      <c r="LXL62" s="10"/>
      <c r="LXM62" s="10"/>
      <c r="LXN62" s="10"/>
      <c r="LXO62" s="10"/>
      <c r="LXP62" s="10"/>
      <c r="LXQ62" s="10"/>
      <c r="LXR62" s="10"/>
      <c r="LXS62" s="10"/>
      <c r="LXT62" s="10"/>
      <c r="LXU62" s="10"/>
      <c r="LXV62" s="10"/>
      <c r="LXW62" s="10"/>
      <c r="LXX62" s="10"/>
      <c r="LXY62" s="10"/>
      <c r="LXZ62" s="10"/>
      <c r="LYA62" s="10"/>
      <c r="LYB62" s="10"/>
      <c r="LYC62" s="10"/>
      <c r="LYD62" s="10"/>
      <c r="LYE62" s="10"/>
      <c r="LYF62" s="10"/>
      <c r="LYG62" s="10"/>
      <c r="LYH62" s="10"/>
      <c r="LYI62" s="10"/>
      <c r="LYJ62" s="10"/>
      <c r="LYK62" s="10"/>
      <c r="LYL62" s="10"/>
      <c r="LYM62" s="10"/>
      <c r="LYN62" s="10"/>
      <c r="LYO62" s="10"/>
      <c r="LYP62" s="10"/>
      <c r="LYQ62" s="10"/>
      <c r="LYR62" s="10"/>
      <c r="LYS62" s="10"/>
      <c r="LYT62" s="10"/>
      <c r="LYU62" s="10"/>
      <c r="LYV62" s="10"/>
      <c r="LYW62" s="10"/>
      <c r="LYX62" s="10"/>
      <c r="LYY62" s="10"/>
      <c r="LYZ62" s="10"/>
      <c r="LZA62" s="10"/>
      <c r="LZB62" s="10"/>
      <c r="LZC62" s="10"/>
      <c r="LZD62" s="10"/>
      <c r="LZE62" s="10"/>
      <c r="LZF62" s="10"/>
      <c r="LZG62" s="10"/>
      <c r="LZH62" s="10"/>
      <c r="LZI62" s="10"/>
      <c r="LZJ62" s="10"/>
      <c r="LZK62" s="10"/>
      <c r="LZL62" s="10"/>
      <c r="LZM62" s="10"/>
      <c r="LZN62" s="10"/>
      <c r="LZO62" s="10"/>
      <c r="LZP62" s="10"/>
      <c r="LZQ62" s="10"/>
      <c r="LZR62" s="10"/>
      <c r="LZS62" s="10"/>
      <c r="LZT62" s="10"/>
      <c r="LZU62" s="10"/>
      <c r="LZV62" s="10"/>
      <c r="LZW62" s="10"/>
      <c r="LZX62" s="10"/>
      <c r="LZY62" s="10"/>
      <c r="LZZ62" s="10"/>
      <c r="MAA62" s="10"/>
      <c r="MAB62" s="10"/>
      <c r="MAC62" s="10"/>
      <c r="MAD62" s="10"/>
      <c r="MAE62" s="10"/>
      <c r="MAF62" s="10"/>
      <c r="MAG62" s="10"/>
      <c r="MAH62" s="10"/>
      <c r="MAI62" s="10"/>
      <c r="MAJ62" s="10"/>
      <c r="MAK62" s="10"/>
      <c r="MAL62" s="10"/>
      <c r="MAM62" s="10"/>
      <c r="MAN62" s="10"/>
      <c r="MAO62" s="10"/>
      <c r="MAP62" s="10"/>
      <c r="MAQ62" s="10"/>
      <c r="MAR62" s="10"/>
      <c r="MAS62" s="10"/>
      <c r="MAT62" s="10"/>
      <c r="MAU62" s="10"/>
      <c r="MAV62" s="10"/>
      <c r="MAW62" s="10"/>
      <c r="MAX62" s="10"/>
      <c r="MAY62" s="10"/>
      <c r="MAZ62" s="10"/>
      <c r="MBA62" s="10"/>
      <c r="MBB62" s="10"/>
      <c r="MBC62" s="10"/>
      <c r="MBD62" s="10"/>
      <c r="MBE62" s="10"/>
      <c r="MBF62" s="10"/>
      <c r="MBG62" s="10"/>
      <c r="MBH62" s="10"/>
      <c r="MBI62" s="10"/>
      <c r="MBJ62" s="10"/>
      <c r="MBK62" s="10"/>
      <c r="MBL62" s="10"/>
      <c r="MBM62" s="10"/>
      <c r="MBN62" s="10"/>
      <c r="MBO62" s="10"/>
      <c r="MBP62" s="10"/>
      <c r="MBQ62" s="10"/>
      <c r="MBR62" s="10"/>
      <c r="MBS62" s="10"/>
      <c r="MBT62" s="10"/>
      <c r="MBU62" s="10"/>
      <c r="MBV62" s="10"/>
      <c r="MBW62" s="10"/>
      <c r="MBX62" s="10"/>
      <c r="MBY62" s="10"/>
      <c r="MBZ62" s="10"/>
      <c r="MCA62" s="10"/>
      <c r="MCB62" s="10"/>
      <c r="MCC62" s="10"/>
      <c r="MCD62" s="10"/>
      <c r="MCE62" s="10"/>
      <c r="MCF62" s="10"/>
      <c r="MCG62" s="10"/>
      <c r="MCH62" s="10"/>
      <c r="MCI62" s="10"/>
      <c r="MCJ62" s="10"/>
      <c r="MCK62" s="10"/>
      <c r="MCL62" s="10"/>
      <c r="MCM62" s="10"/>
      <c r="MCN62" s="10"/>
      <c r="MCO62" s="10"/>
      <c r="MCP62" s="10"/>
      <c r="MCQ62" s="10"/>
      <c r="MCR62" s="10"/>
      <c r="MCS62" s="10"/>
      <c r="MCT62" s="10"/>
      <c r="MCU62" s="10"/>
      <c r="MCV62" s="10"/>
      <c r="MCW62" s="10"/>
      <c r="MCX62" s="10"/>
      <c r="MCY62" s="10"/>
      <c r="MCZ62" s="10"/>
      <c r="MDA62" s="10"/>
      <c r="MDB62" s="10"/>
      <c r="MDC62" s="10"/>
      <c r="MDD62" s="10"/>
      <c r="MDE62" s="10"/>
      <c r="MDF62" s="10"/>
      <c r="MDG62" s="10"/>
      <c r="MDH62" s="10"/>
      <c r="MDI62" s="10"/>
      <c r="MDJ62" s="10"/>
      <c r="MDK62" s="10"/>
      <c r="MDL62" s="10"/>
      <c r="MDM62" s="10"/>
      <c r="MDN62" s="10"/>
      <c r="MDO62" s="10"/>
      <c r="MDP62" s="10"/>
      <c r="MDQ62" s="10"/>
      <c r="MDR62" s="10"/>
      <c r="MDS62" s="10"/>
      <c r="MDT62" s="10"/>
      <c r="MDU62" s="10"/>
      <c r="MDV62" s="10"/>
      <c r="MDW62" s="10"/>
      <c r="MDX62" s="10"/>
      <c r="MDY62" s="10"/>
      <c r="MDZ62" s="10"/>
      <c r="MEA62" s="10"/>
      <c r="MEB62" s="10"/>
      <c r="MEC62" s="10"/>
      <c r="MED62" s="10"/>
      <c r="MEE62" s="10"/>
      <c r="MEF62" s="10"/>
      <c r="MEG62" s="10"/>
      <c r="MEH62" s="10"/>
      <c r="MEI62" s="10"/>
      <c r="MEJ62" s="10"/>
      <c r="MEK62" s="10"/>
      <c r="MEL62" s="10"/>
      <c r="MEM62" s="10"/>
      <c r="MEN62" s="10"/>
      <c r="MEO62" s="10"/>
      <c r="MEP62" s="10"/>
      <c r="MEQ62" s="10"/>
      <c r="MER62" s="10"/>
      <c r="MES62" s="10"/>
      <c r="MET62" s="10"/>
      <c r="MEU62" s="10"/>
      <c r="MEV62" s="10"/>
      <c r="MEW62" s="10"/>
      <c r="MEX62" s="10"/>
      <c r="MEY62" s="10"/>
      <c r="MEZ62" s="10"/>
      <c r="MFA62" s="10"/>
      <c r="MFB62" s="10"/>
      <c r="MFC62" s="10"/>
      <c r="MFD62" s="10"/>
      <c r="MFE62" s="10"/>
      <c r="MFF62" s="10"/>
      <c r="MFG62" s="10"/>
      <c r="MFH62" s="10"/>
      <c r="MFI62" s="10"/>
      <c r="MFJ62" s="10"/>
      <c r="MFK62" s="10"/>
      <c r="MFL62" s="10"/>
      <c r="MFM62" s="10"/>
      <c r="MFN62" s="10"/>
      <c r="MFO62" s="10"/>
      <c r="MFP62" s="10"/>
      <c r="MFQ62" s="10"/>
      <c r="MFR62" s="10"/>
      <c r="MFS62" s="10"/>
      <c r="MFT62" s="10"/>
      <c r="MFU62" s="10"/>
      <c r="MFV62" s="10"/>
      <c r="MFW62" s="10"/>
      <c r="MFX62" s="10"/>
      <c r="MFY62" s="10"/>
      <c r="MFZ62" s="10"/>
      <c r="MGA62" s="10"/>
      <c r="MGB62" s="10"/>
      <c r="MGC62" s="10"/>
      <c r="MGD62" s="10"/>
      <c r="MGE62" s="10"/>
      <c r="MGF62" s="10"/>
      <c r="MGG62" s="10"/>
      <c r="MGH62" s="10"/>
      <c r="MGI62" s="10"/>
      <c r="MGJ62" s="10"/>
      <c r="MGK62" s="10"/>
      <c r="MGL62" s="10"/>
      <c r="MGM62" s="10"/>
      <c r="MGN62" s="10"/>
      <c r="MGO62" s="10"/>
      <c r="MGP62" s="10"/>
      <c r="MGQ62" s="10"/>
      <c r="MGR62" s="10"/>
      <c r="MGS62" s="10"/>
      <c r="MGT62" s="10"/>
      <c r="MGU62" s="10"/>
      <c r="MGV62" s="10"/>
      <c r="MGW62" s="10"/>
      <c r="MGX62" s="10"/>
      <c r="MGY62" s="10"/>
      <c r="MGZ62" s="10"/>
      <c r="MHA62" s="10"/>
      <c r="MHB62" s="10"/>
      <c r="MHC62" s="10"/>
      <c r="MHD62" s="10"/>
      <c r="MHE62" s="10"/>
      <c r="MHF62" s="10"/>
      <c r="MHG62" s="10"/>
      <c r="MHH62" s="10"/>
      <c r="MHI62" s="10"/>
      <c r="MHJ62" s="10"/>
      <c r="MHK62" s="10"/>
      <c r="MHL62" s="10"/>
      <c r="MHM62" s="10"/>
      <c r="MHN62" s="10"/>
      <c r="MHO62" s="10"/>
      <c r="MHP62" s="10"/>
      <c r="MHQ62" s="10"/>
      <c r="MHR62" s="10"/>
      <c r="MHS62" s="10"/>
      <c r="MHT62" s="10"/>
      <c r="MHU62" s="10"/>
      <c r="MHV62" s="10"/>
      <c r="MHW62" s="10"/>
      <c r="MHX62" s="10"/>
      <c r="MHY62" s="10"/>
      <c r="MHZ62" s="10"/>
      <c r="MIA62" s="10"/>
      <c r="MIB62" s="10"/>
      <c r="MIC62" s="10"/>
      <c r="MID62" s="10"/>
      <c r="MIE62" s="10"/>
      <c r="MIF62" s="10"/>
      <c r="MIG62" s="10"/>
      <c r="MIH62" s="10"/>
      <c r="MII62" s="10"/>
      <c r="MIJ62" s="10"/>
      <c r="MIK62" s="10"/>
      <c r="MIL62" s="10"/>
      <c r="MIM62" s="10"/>
      <c r="MIN62" s="10"/>
      <c r="MIO62" s="10"/>
      <c r="MIP62" s="10"/>
      <c r="MIQ62" s="10"/>
      <c r="MIR62" s="10"/>
      <c r="MIS62" s="10"/>
      <c r="MIT62" s="10"/>
      <c r="MIU62" s="10"/>
      <c r="MIV62" s="10"/>
      <c r="MIW62" s="10"/>
      <c r="MIX62" s="10"/>
      <c r="MIY62" s="10"/>
      <c r="MIZ62" s="10"/>
      <c r="MJA62" s="10"/>
      <c r="MJB62" s="10"/>
      <c r="MJC62" s="10"/>
      <c r="MJD62" s="10"/>
      <c r="MJE62" s="10"/>
      <c r="MJF62" s="10"/>
      <c r="MJG62" s="10"/>
      <c r="MJH62" s="10"/>
      <c r="MJI62" s="10"/>
      <c r="MJJ62" s="10"/>
      <c r="MJK62" s="10"/>
      <c r="MJL62" s="10"/>
      <c r="MJM62" s="10"/>
      <c r="MJN62" s="10"/>
      <c r="MJO62" s="10"/>
      <c r="MJP62" s="10"/>
      <c r="MJQ62" s="10"/>
      <c r="MJR62" s="10"/>
      <c r="MJS62" s="10"/>
      <c r="MJT62" s="10"/>
      <c r="MJU62" s="10"/>
      <c r="MJV62" s="10"/>
      <c r="MJW62" s="10"/>
      <c r="MJX62" s="10"/>
      <c r="MJY62" s="10"/>
      <c r="MJZ62" s="10"/>
      <c r="MKA62" s="10"/>
      <c r="MKB62" s="10"/>
      <c r="MKC62" s="10"/>
      <c r="MKD62" s="10"/>
      <c r="MKE62" s="10"/>
      <c r="MKF62" s="10"/>
      <c r="MKG62" s="10"/>
      <c r="MKH62" s="10"/>
      <c r="MKI62" s="10"/>
      <c r="MKJ62" s="10"/>
      <c r="MKK62" s="10"/>
      <c r="MKL62" s="10"/>
      <c r="MKM62" s="10"/>
      <c r="MKN62" s="10"/>
      <c r="MKO62" s="10"/>
      <c r="MKP62" s="10"/>
      <c r="MKQ62" s="10"/>
      <c r="MKR62" s="10"/>
      <c r="MKS62" s="10"/>
      <c r="MKT62" s="10"/>
      <c r="MKU62" s="10"/>
      <c r="MKV62" s="10"/>
      <c r="MKW62" s="10"/>
      <c r="MKX62" s="10"/>
      <c r="MKY62" s="10"/>
      <c r="MKZ62" s="10"/>
      <c r="MLA62" s="10"/>
      <c r="MLB62" s="10"/>
      <c r="MLC62" s="10"/>
      <c r="MLD62" s="10"/>
      <c r="MLE62" s="10"/>
      <c r="MLF62" s="10"/>
      <c r="MLG62" s="10"/>
      <c r="MLH62" s="10"/>
      <c r="MLI62" s="10"/>
      <c r="MLJ62" s="10"/>
      <c r="MLK62" s="10"/>
      <c r="MLL62" s="10"/>
      <c r="MLM62" s="10"/>
      <c r="MLN62" s="10"/>
      <c r="MLO62" s="10"/>
      <c r="MLP62" s="10"/>
      <c r="MLQ62" s="10"/>
      <c r="MLR62" s="10"/>
      <c r="MLS62" s="10"/>
      <c r="MLT62" s="10"/>
      <c r="MLU62" s="10"/>
      <c r="MLV62" s="10"/>
      <c r="MLW62" s="10"/>
      <c r="MLX62" s="10"/>
      <c r="MLY62" s="10"/>
      <c r="MLZ62" s="10"/>
      <c r="MMA62" s="10"/>
      <c r="MMB62" s="10"/>
      <c r="MMC62" s="10"/>
      <c r="MMD62" s="10"/>
      <c r="MME62" s="10"/>
      <c r="MMF62" s="10"/>
      <c r="MMG62" s="10"/>
      <c r="MMH62" s="10"/>
      <c r="MMI62" s="10"/>
      <c r="MMJ62" s="10"/>
      <c r="MMK62" s="10"/>
      <c r="MML62" s="10"/>
      <c r="MMM62" s="10"/>
      <c r="MMN62" s="10"/>
      <c r="MMO62" s="10"/>
      <c r="MMP62" s="10"/>
      <c r="MMQ62" s="10"/>
      <c r="MMR62" s="10"/>
      <c r="MMS62" s="10"/>
      <c r="MMT62" s="10"/>
      <c r="MMU62" s="10"/>
      <c r="MMV62" s="10"/>
      <c r="MMW62" s="10"/>
      <c r="MMX62" s="10"/>
      <c r="MMY62" s="10"/>
      <c r="MMZ62" s="10"/>
      <c r="MNA62" s="10"/>
      <c r="MNB62" s="10"/>
      <c r="MNC62" s="10"/>
      <c r="MND62" s="10"/>
      <c r="MNE62" s="10"/>
      <c r="MNF62" s="10"/>
      <c r="MNG62" s="10"/>
      <c r="MNH62" s="10"/>
      <c r="MNI62" s="10"/>
      <c r="MNJ62" s="10"/>
      <c r="MNK62" s="10"/>
      <c r="MNL62" s="10"/>
      <c r="MNM62" s="10"/>
      <c r="MNN62" s="10"/>
      <c r="MNO62" s="10"/>
      <c r="MNP62" s="10"/>
      <c r="MNQ62" s="10"/>
      <c r="MNR62" s="10"/>
      <c r="MNS62" s="10"/>
      <c r="MNT62" s="10"/>
      <c r="MNU62" s="10"/>
      <c r="MNV62" s="10"/>
      <c r="MNW62" s="10"/>
      <c r="MNX62" s="10"/>
      <c r="MNY62" s="10"/>
      <c r="MNZ62" s="10"/>
      <c r="MOA62" s="10"/>
      <c r="MOB62" s="10"/>
      <c r="MOC62" s="10"/>
      <c r="MOD62" s="10"/>
      <c r="MOE62" s="10"/>
      <c r="MOF62" s="10"/>
      <c r="MOG62" s="10"/>
      <c r="MOH62" s="10"/>
      <c r="MOI62" s="10"/>
      <c r="MOJ62" s="10"/>
      <c r="MOK62" s="10"/>
      <c r="MOL62" s="10"/>
      <c r="MOM62" s="10"/>
      <c r="MON62" s="10"/>
      <c r="MOO62" s="10"/>
      <c r="MOP62" s="10"/>
      <c r="MOQ62" s="10"/>
      <c r="MOR62" s="10"/>
      <c r="MOS62" s="10"/>
      <c r="MOT62" s="10"/>
      <c r="MOU62" s="10"/>
      <c r="MOV62" s="10"/>
      <c r="MOW62" s="10"/>
      <c r="MOX62" s="10"/>
      <c r="MOY62" s="10"/>
      <c r="MOZ62" s="10"/>
      <c r="MPA62" s="10"/>
      <c r="MPB62" s="10"/>
      <c r="MPC62" s="10"/>
      <c r="MPD62" s="10"/>
      <c r="MPE62" s="10"/>
      <c r="MPF62" s="10"/>
      <c r="MPG62" s="10"/>
      <c r="MPH62" s="10"/>
      <c r="MPI62" s="10"/>
      <c r="MPJ62" s="10"/>
      <c r="MPK62" s="10"/>
      <c r="MPL62" s="10"/>
      <c r="MPM62" s="10"/>
      <c r="MPN62" s="10"/>
      <c r="MPO62" s="10"/>
      <c r="MPP62" s="10"/>
      <c r="MPQ62" s="10"/>
      <c r="MPR62" s="10"/>
      <c r="MPS62" s="10"/>
      <c r="MPT62" s="10"/>
      <c r="MPU62" s="10"/>
      <c r="MPV62" s="10"/>
      <c r="MPW62" s="10"/>
      <c r="MPX62" s="10"/>
      <c r="MPY62" s="10"/>
      <c r="MPZ62" s="10"/>
      <c r="MQA62" s="10"/>
      <c r="MQB62" s="10"/>
      <c r="MQC62" s="10"/>
      <c r="MQD62" s="10"/>
      <c r="MQE62" s="10"/>
      <c r="MQF62" s="10"/>
      <c r="MQG62" s="10"/>
      <c r="MQH62" s="10"/>
      <c r="MQI62" s="10"/>
      <c r="MQJ62" s="10"/>
      <c r="MQK62" s="10"/>
      <c r="MQL62" s="10"/>
      <c r="MQM62" s="10"/>
      <c r="MQN62" s="10"/>
      <c r="MQO62" s="10"/>
      <c r="MQP62" s="10"/>
      <c r="MQQ62" s="10"/>
      <c r="MQR62" s="10"/>
      <c r="MQS62" s="10"/>
      <c r="MQT62" s="10"/>
      <c r="MQU62" s="10"/>
      <c r="MQV62" s="10"/>
      <c r="MQW62" s="10"/>
      <c r="MQX62" s="10"/>
      <c r="MQY62" s="10"/>
      <c r="MQZ62" s="10"/>
      <c r="MRA62" s="10"/>
      <c r="MRB62" s="10"/>
      <c r="MRC62" s="10"/>
      <c r="MRD62" s="10"/>
      <c r="MRE62" s="10"/>
      <c r="MRF62" s="10"/>
      <c r="MRG62" s="10"/>
      <c r="MRH62" s="10"/>
      <c r="MRI62" s="10"/>
      <c r="MRJ62" s="10"/>
      <c r="MRK62" s="10"/>
      <c r="MRL62" s="10"/>
      <c r="MRM62" s="10"/>
      <c r="MRN62" s="10"/>
      <c r="MRO62" s="10"/>
      <c r="MRP62" s="10"/>
      <c r="MRQ62" s="10"/>
      <c r="MRR62" s="10"/>
      <c r="MRS62" s="10"/>
      <c r="MRT62" s="10"/>
      <c r="MRU62" s="10"/>
      <c r="MRV62" s="10"/>
      <c r="MRW62" s="10"/>
      <c r="MRX62" s="10"/>
      <c r="MRY62" s="10"/>
      <c r="MRZ62" s="10"/>
      <c r="MSA62" s="10"/>
      <c r="MSB62" s="10"/>
      <c r="MSC62" s="10"/>
      <c r="MSD62" s="10"/>
      <c r="MSE62" s="10"/>
      <c r="MSF62" s="10"/>
      <c r="MSG62" s="10"/>
      <c r="MSH62" s="10"/>
      <c r="MSI62" s="10"/>
      <c r="MSJ62" s="10"/>
      <c r="MSK62" s="10"/>
      <c r="MSL62" s="10"/>
      <c r="MSM62" s="10"/>
      <c r="MSN62" s="10"/>
      <c r="MSO62" s="10"/>
      <c r="MSP62" s="10"/>
      <c r="MSQ62" s="10"/>
      <c r="MSR62" s="10"/>
      <c r="MSS62" s="10"/>
      <c r="MST62" s="10"/>
      <c r="MSU62" s="10"/>
      <c r="MSV62" s="10"/>
      <c r="MSW62" s="10"/>
      <c r="MSX62" s="10"/>
      <c r="MSY62" s="10"/>
      <c r="MSZ62" s="10"/>
      <c r="MTA62" s="10"/>
      <c r="MTB62" s="10"/>
      <c r="MTC62" s="10"/>
      <c r="MTD62" s="10"/>
      <c r="MTE62" s="10"/>
      <c r="MTF62" s="10"/>
      <c r="MTG62" s="10"/>
      <c r="MTH62" s="10"/>
      <c r="MTI62" s="10"/>
      <c r="MTJ62" s="10"/>
      <c r="MTK62" s="10"/>
      <c r="MTL62" s="10"/>
      <c r="MTM62" s="10"/>
      <c r="MTN62" s="10"/>
      <c r="MTO62" s="10"/>
      <c r="MTP62" s="10"/>
      <c r="MTQ62" s="10"/>
      <c r="MTR62" s="10"/>
      <c r="MTS62" s="10"/>
      <c r="MTT62" s="10"/>
      <c r="MTU62" s="10"/>
      <c r="MTV62" s="10"/>
      <c r="MTW62" s="10"/>
      <c r="MTX62" s="10"/>
      <c r="MTY62" s="10"/>
      <c r="MTZ62" s="10"/>
      <c r="MUA62" s="10"/>
      <c r="MUB62" s="10"/>
      <c r="MUC62" s="10"/>
      <c r="MUD62" s="10"/>
      <c r="MUE62" s="10"/>
      <c r="MUF62" s="10"/>
      <c r="MUG62" s="10"/>
      <c r="MUH62" s="10"/>
      <c r="MUI62" s="10"/>
      <c r="MUJ62" s="10"/>
      <c r="MUK62" s="10"/>
      <c r="MUL62" s="10"/>
      <c r="MUM62" s="10"/>
      <c r="MUN62" s="10"/>
      <c r="MUO62" s="10"/>
      <c r="MUP62" s="10"/>
      <c r="MUQ62" s="10"/>
      <c r="MUR62" s="10"/>
      <c r="MUS62" s="10"/>
      <c r="MUT62" s="10"/>
      <c r="MUU62" s="10"/>
      <c r="MUV62" s="10"/>
      <c r="MUW62" s="10"/>
      <c r="MUX62" s="10"/>
      <c r="MUY62" s="10"/>
      <c r="MUZ62" s="10"/>
      <c r="MVA62" s="10"/>
      <c r="MVB62" s="10"/>
      <c r="MVC62" s="10"/>
      <c r="MVD62" s="10"/>
      <c r="MVE62" s="10"/>
      <c r="MVF62" s="10"/>
      <c r="MVG62" s="10"/>
      <c r="MVH62" s="10"/>
      <c r="MVI62" s="10"/>
      <c r="MVJ62" s="10"/>
      <c r="MVK62" s="10"/>
      <c r="MVL62" s="10"/>
      <c r="MVM62" s="10"/>
      <c r="MVN62" s="10"/>
      <c r="MVO62" s="10"/>
      <c r="MVP62" s="10"/>
      <c r="MVQ62" s="10"/>
      <c r="MVR62" s="10"/>
      <c r="MVS62" s="10"/>
      <c r="MVT62" s="10"/>
      <c r="MVU62" s="10"/>
      <c r="MVV62" s="10"/>
      <c r="MVW62" s="10"/>
      <c r="MVX62" s="10"/>
      <c r="MVY62" s="10"/>
      <c r="MVZ62" s="10"/>
      <c r="MWA62" s="10"/>
      <c r="MWB62" s="10"/>
      <c r="MWC62" s="10"/>
      <c r="MWD62" s="10"/>
      <c r="MWE62" s="10"/>
      <c r="MWF62" s="10"/>
      <c r="MWG62" s="10"/>
      <c r="MWH62" s="10"/>
      <c r="MWI62" s="10"/>
      <c r="MWJ62" s="10"/>
      <c r="MWK62" s="10"/>
      <c r="MWL62" s="10"/>
      <c r="MWM62" s="10"/>
      <c r="MWN62" s="10"/>
      <c r="MWO62" s="10"/>
      <c r="MWP62" s="10"/>
      <c r="MWQ62" s="10"/>
      <c r="MWR62" s="10"/>
      <c r="MWS62" s="10"/>
      <c r="MWT62" s="10"/>
      <c r="MWU62" s="10"/>
      <c r="MWV62" s="10"/>
      <c r="MWW62" s="10"/>
      <c r="MWX62" s="10"/>
      <c r="MWY62" s="10"/>
      <c r="MWZ62" s="10"/>
      <c r="MXA62" s="10"/>
      <c r="MXB62" s="10"/>
      <c r="MXC62" s="10"/>
      <c r="MXD62" s="10"/>
      <c r="MXE62" s="10"/>
      <c r="MXF62" s="10"/>
      <c r="MXG62" s="10"/>
      <c r="MXH62" s="10"/>
      <c r="MXI62" s="10"/>
      <c r="MXJ62" s="10"/>
      <c r="MXK62" s="10"/>
      <c r="MXL62" s="10"/>
      <c r="MXM62" s="10"/>
      <c r="MXN62" s="10"/>
      <c r="MXO62" s="10"/>
      <c r="MXP62" s="10"/>
      <c r="MXQ62" s="10"/>
      <c r="MXR62" s="10"/>
      <c r="MXS62" s="10"/>
      <c r="MXT62" s="10"/>
      <c r="MXU62" s="10"/>
      <c r="MXV62" s="10"/>
      <c r="MXW62" s="10"/>
      <c r="MXX62" s="10"/>
      <c r="MXY62" s="10"/>
      <c r="MXZ62" s="10"/>
      <c r="MYA62" s="10"/>
      <c r="MYB62" s="10"/>
      <c r="MYC62" s="10"/>
      <c r="MYD62" s="10"/>
      <c r="MYE62" s="10"/>
      <c r="MYF62" s="10"/>
      <c r="MYG62" s="10"/>
      <c r="MYH62" s="10"/>
      <c r="MYI62" s="10"/>
      <c r="MYJ62" s="10"/>
      <c r="MYK62" s="10"/>
      <c r="MYL62" s="10"/>
      <c r="MYM62" s="10"/>
      <c r="MYN62" s="10"/>
      <c r="MYO62" s="10"/>
      <c r="MYP62" s="10"/>
      <c r="MYQ62" s="10"/>
      <c r="MYR62" s="10"/>
      <c r="MYS62" s="10"/>
      <c r="MYT62" s="10"/>
      <c r="MYU62" s="10"/>
      <c r="MYV62" s="10"/>
      <c r="MYW62" s="10"/>
      <c r="MYX62" s="10"/>
      <c r="MYY62" s="10"/>
      <c r="MYZ62" s="10"/>
      <c r="MZA62" s="10"/>
      <c r="MZB62" s="10"/>
      <c r="MZC62" s="10"/>
      <c r="MZD62" s="10"/>
      <c r="MZE62" s="10"/>
      <c r="MZF62" s="10"/>
      <c r="MZG62" s="10"/>
      <c r="MZH62" s="10"/>
      <c r="MZI62" s="10"/>
      <c r="MZJ62" s="10"/>
      <c r="MZK62" s="10"/>
      <c r="MZL62" s="10"/>
      <c r="MZM62" s="10"/>
      <c r="MZN62" s="10"/>
      <c r="MZO62" s="10"/>
      <c r="MZP62" s="10"/>
      <c r="MZQ62" s="10"/>
      <c r="MZR62" s="10"/>
      <c r="MZS62" s="10"/>
      <c r="MZT62" s="10"/>
      <c r="MZU62" s="10"/>
      <c r="MZV62" s="10"/>
      <c r="MZW62" s="10"/>
      <c r="MZX62" s="10"/>
      <c r="MZY62" s="10"/>
      <c r="MZZ62" s="10"/>
      <c r="NAA62" s="10"/>
      <c r="NAB62" s="10"/>
      <c r="NAC62" s="10"/>
      <c r="NAD62" s="10"/>
      <c r="NAE62" s="10"/>
      <c r="NAF62" s="10"/>
      <c r="NAG62" s="10"/>
      <c r="NAH62" s="10"/>
      <c r="NAI62" s="10"/>
      <c r="NAJ62" s="10"/>
      <c r="NAK62" s="10"/>
      <c r="NAL62" s="10"/>
      <c r="NAM62" s="10"/>
      <c r="NAN62" s="10"/>
      <c r="NAO62" s="10"/>
      <c r="NAP62" s="10"/>
      <c r="NAQ62" s="10"/>
      <c r="NAR62" s="10"/>
      <c r="NAS62" s="10"/>
      <c r="NAT62" s="10"/>
      <c r="NAU62" s="10"/>
      <c r="NAV62" s="10"/>
      <c r="NAW62" s="10"/>
      <c r="NAX62" s="10"/>
      <c r="NAY62" s="10"/>
      <c r="NAZ62" s="10"/>
      <c r="NBA62" s="10"/>
      <c r="NBB62" s="10"/>
      <c r="NBC62" s="10"/>
      <c r="NBD62" s="10"/>
      <c r="NBE62" s="10"/>
      <c r="NBF62" s="10"/>
      <c r="NBG62" s="10"/>
      <c r="NBH62" s="10"/>
      <c r="NBI62" s="10"/>
      <c r="NBJ62" s="10"/>
      <c r="NBK62" s="10"/>
      <c r="NBL62" s="10"/>
      <c r="NBM62" s="10"/>
      <c r="NBN62" s="10"/>
      <c r="NBO62" s="10"/>
      <c r="NBP62" s="10"/>
      <c r="NBQ62" s="10"/>
      <c r="NBR62" s="10"/>
      <c r="NBS62" s="10"/>
      <c r="NBT62" s="10"/>
      <c r="NBU62" s="10"/>
      <c r="NBV62" s="10"/>
      <c r="NBW62" s="10"/>
      <c r="NBX62" s="10"/>
      <c r="NBY62" s="10"/>
      <c r="NBZ62" s="10"/>
      <c r="NCA62" s="10"/>
      <c r="NCB62" s="10"/>
      <c r="NCC62" s="10"/>
      <c r="NCD62" s="10"/>
      <c r="NCE62" s="10"/>
      <c r="NCF62" s="10"/>
      <c r="NCG62" s="10"/>
      <c r="NCH62" s="10"/>
      <c r="NCI62" s="10"/>
      <c r="NCJ62" s="10"/>
      <c r="NCK62" s="10"/>
      <c r="NCL62" s="10"/>
      <c r="NCM62" s="10"/>
      <c r="NCN62" s="10"/>
      <c r="NCO62" s="10"/>
      <c r="NCP62" s="10"/>
      <c r="NCQ62" s="10"/>
      <c r="NCR62" s="10"/>
      <c r="NCS62" s="10"/>
      <c r="NCT62" s="10"/>
      <c r="NCU62" s="10"/>
      <c r="NCV62" s="10"/>
      <c r="NCW62" s="10"/>
      <c r="NCX62" s="10"/>
      <c r="NCY62" s="10"/>
      <c r="NCZ62" s="10"/>
      <c r="NDA62" s="10"/>
      <c r="NDB62" s="10"/>
      <c r="NDC62" s="10"/>
      <c r="NDD62" s="10"/>
      <c r="NDE62" s="10"/>
      <c r="NDF62" s="10"/>
      <c r="NDG62" s="10"/>
      <c r="NDH62" s="10"/>
      <c r="NDI62" s="10"/>
      <c r="NDJ62" s="10"/>
      <c r="NDK62" s="10"/>
      <c r="NDL62" s="10"/>
      <c r="NDM62" s="10"/>
      <c r="NDN62" s="10"/>
      <c r="NDO62" s="10"/>
      <c r="NDP62" s="10"/>
      <c r="NDQ62" s="10"/>
      <c r="NDR62" s="10"/>
      <c r="NDS62" s="10"/>
      <c r="NDT62" s="10"/>
      <c r="NDU62" s="10"/>
      <c r="NDV62" s="10"/>
      <c r="NDW62" s="10"/>
      <c r="NDX62" s="10"/>
      <c r="NDY62" s="10"/>
      <c r="NDZ62" s="10"/>
      <c r="NEA62" s="10"/>
      <c r="NEB62" s="10"/>
      <c r="NEC62" s="10"/>
      <c r="NED62" s="10"/>
      <c r="NEE62" s="10"/>
      <c r="NEF62" s="10"/>
      <c r="NEG62" s="10"/>
      <c r="NEH62" s="10"/>
      <c r="NEI62" s="10"/>
      <c r="NEJ62" s="10"/>
      <c r="NEK62" s="10"/>
      <c r="NEL62" s="10"/>
      <c r="NEM62" s="10"/>
      <c r="NEN62" s="10"/>
      <c r="NEO62" s="10"/>
      <c r="NEP62" s="10"/>
      <c r="NEQ62" s="10"/>
      <c r="NER62" s="10"/>
      <c r="NES62" s="10"/>
      <c r="NET62" s="10"/>
      <c r="NEU62" s="10"/>
      <c r="NEV62" s="10"/>
      <c r="NEW62" s="10"/>
      <c r="NEX62" s="10"/>
      <c r="NEY62" s="10"/>
      <c r="NEZ62" s="10"/>
      <c r="NFA62" s="10"/>
      <c r="NFB62" s="10"/>
      <c r="NFC62" s="10"/>
      <c r="NFD62" s="10"/>
      <c r="NFE62" s="10"/>
      <c r="NFF62" s="10"/>
      <c r="NFG62" s="10"/>
      <c r="NFH62" s="10"/>
      <c r="NFI62" s="10"/>
      <c r="NFJ62" s="10"/>
      <c r="NFK62" s="10"/>
      <c r="NFL62" s="10"/>
      <c r="NFM62" s="10"/>
      <c r="NFN62" s="10"/>
      <c r="NFO62" s="10"/>
      <c r="NFP62" s="10"/>
      <c r="NFQ62" s="10"/>
      <c r="NFR62" s="10"/>
      <c r="NFS62" s="10"/>
      <c r="NFT62" s="10"/>
      <c r="NFU62" s="10"/>
      <c r="NFV62" s="10"/>
      <c r="NFW62" s="10"/>
      <c r="NFX62" s="10"/>
      <c r="NFY62" s="10"/>
      <c r="NFZ62" s="10"/>
      <c r="NGA62" s="10"/>
      <c r="NGB62" s="10"/>
      <c r="NGC62" s="10"/>
      <c r="NGD62" s="10"/>
      <c r="NGE62" s="10"/>
      <c r="NGF62" s="10"/>
      <c r="NGG62" s="10"/>
      <c r="NGH62" s="10"/>
      <c r="NGI62" s="10"/>
      <c r="NGJ62" s="10"/>
      <c r="NGK62" s="10"/>
      <c r="NGL62" s="10"/>
      <c r="NGM62" s="10"/>
      <c r="NGN62" s="10"/>
      <c r="NGO62" s="10"/>
      <c r="NGP62" s="10"/>
      <c r="NGQ62" s="10"/>
      <c r="NGR62" s="10"/>
      <c r="NGS62" s="10"/>
      <c r="NGT62" s="10"/>
      <c r="NGU62" s="10"/>
      <c r="NGV62" s="10"/>
      <c r="NGW62" s="10"/>
      <c r="NGX62" s="10"/>
      <c r="NGY62" s="10"/>
      <c r="NGZ62" s="10"/>
      <c r="NHA62" s="10"/>
      <c r="NHB62" s="10"/>
      <c r="NHC62" s="10"/>
      <c r="NHD62" s="10"/>
      <c r="NHE62" s="10"/>
      <c r="NHF62" s="10"/>
      <c r="NHG62" s="10"/>
      <c r="NHH62" s="10"/>
      <c r="NHI62" s="10"/>
      <c r="NHJ62" s="10"/>
      <c r="NHK62" s="10"/>
      <c r="NHL62" s="10"/>
      <c r="NHM62" s="10"/>
      <c r="NHN62" s="10"/>
      <c r="NHO62" s="10"/>
      <c r="NHP62" s="10"/>
      <c r="NHQ62" s="10"/>
      <c r="NHR62" s="10"/>
      <c r="NHS62" s="10"/>
      <c r="NHT62" s="10"/>
      <c r="NHU62" s="10"/>
      <c r="NHV62" s="10"/>
      <c r="NHW62" s="10"/>
      <c r="NHX62" s="10"/>
      <c r="NHY62" s="10"/>
      <c r="NHZ62" s="10"/>
      <c r="NIA62" s="10"/>
      <c r="NIB62" s="10"/>
      <c r="NIC62" s="10"/>
      <c r="NID62" s="10"/>
      <c r="NIE62" s="10"/>
      <c r="NIF62" s="10"/>
      <c r="NIG62" s="10"/>
      <c r="NIH62" s="10"/>
      <c r="NII62" s="10"/>
      <c r="NIJ62" s="10"/>
      <c r="NIK62" s="10"/>
      <c r="NIL62" s="10"/>
      <c r="NIM62" s="10"/>
      <c r="NIN62" s="10"/>
      <c r="NIO62" s="10"/>
      <c r="NIP62" s="10"/>
      <c r="NIQ62" s="10"/>
      <c r="NIR62" s="10"/>
      <c r="NIS62" s="10"/>
      <c r="NIT62" s="10"/>
      <c r="NIU62" s="10"/>
      <c r="NIV62" s="10"/>
      <c r="NIW62" s="10"/>
      <c r="NIX62" s="10"/>
      <c r="NIY62" s="10"/>
      <c r="NIZ62" s="10"/>
      <c r="NJA62" s="10"/>
      <c r="NJB62" s="10"/>
      <c r="NJC62" s="10"/>
      <c r="NJD62" s="10"/>
      <c r="NJE62" s="10"/>
      <c r="NJF62" s="10"/>
      <c r="NJG62" s="10"/>
      <c r="NJH62" s="10"/>
      <c r="NJI62" s="10"/>
      <c r="NJJ62" s="10"/>
      <c r="NJK62" s="10"/>
      <c r="NJL62" s="10"/>
      <c r="NJM62" s="10"/>
      <c r="NJN62" s="10"/>
      <c r="NJO62" s="10"/>
      <c r="NJP62" s="10"/>
      <c r="NJQ62" s="10"/>
      <c r="NJR62" s="10"/>
      <c r="NJS62" s="10"/>
      <c r="NJT62" s="10"/>
      <c r="NJU62" s="10"/>
      <c r="NJV62" s="10"/>
      <c r="NJW62" s="10"/>
      <c r="NJX62" s="10"/>
      <c r="NJY62" s="10"/>
      <c r="NJZ62" s="10"/>
      <c r="NKA62" s="10"/>
      <c r="NKB62" s="10"/>
      <c r="NKC62" s="10"/>
      <c r="NKD62" s="10"/>
      <c r="NKE62" s="10"/>
      <c r="NKF62" s="10"/>
      <c r="NKG62" s="10"/>
      <c r="NKH62" s="10"/>
      <c r="NKI62" s="10"/>
      <c r="NKJ62" s="10"/>
      <c r="NKK62" s="10"/>
      <c r="NKL62" s="10"/>
      <c r="NKM62" s="10"/>
      <c r="NKN62" s="10"/>
      <c r="NKO62" s="10"/>
      <c r="NKP62" s="10"/>
      <c r="NKQ62" s="10"/>
      <c r="NKR62" s="10"/>
      <c r="NKS62" s="10"/>
      <c r="NKT62" s="10"/>
      <c r="NKU62" s="10"/>
      <c r="NKV62" s="10"/>
      <c r="NKW62" s="10"/>
      <c r="NKX62" s="10"/>
      <c r="NKY62" s="10"/>
      <c r="NKZ62" s="10"/>
      <c r="NLA62" s="10"/>
      <c r="NLB62" s="10"/>
      <c r="NLC62" s="10"/>
      <c r="NLD62" s="10"/>
      <c r="NLE62" s="10"/>
      <c r="NLF62" s="10"/>
      <c r="NLG62" s="10"/>
      <c r="NLH62" s="10"/>
      <c r="NLI62" s="10"/>
      <c r="NLJ62" s="10"/>
      <c r="NLK62" s="10"/>
      <c r="NLL62" s="10"/>
      <c r="NLM62" s="10"/>
      <c r="NLN62" s="10"/>
      <c r="NLO62" s="10"/>
      <c r="NLP62" s="10"/>
      <c r="NLQ62" s="10"/>
      <c r="NLR62" s="10"/>
      <c r="NLS62" s="10"/>
      <c r="NLT62" s="10"/>
      <c r="NLU62" s="10"/>
      <c r="NLV62" s="10"/>
      <c r="NLW62" s="10"/>
      <c r="NLX62" s="10"/>
      <c r="NLY62" s="10"/>
      <c r="NLZ62" s="10"/>
      <c r="NMA62" s="10"/>
      <c r="NMB62" s="10"/>
      <c r="NMC62" s="10"/>
      <c r="NMD62" s="10"/>
      <c r="NME62" s="10"/>
      <c r="NMF62" s="10"/>
      <c r="NMG62" s="10"/>
      <c r="NMH62" s="10"/>
      <c r="NMI62" s="10"/>
      <c r="NMJ62" s="10"/>
      <c r="NMK62" s="10"/>
      <c r="NML62" s="10"/>
      <c r="NMM62" s="10"/>
      <c r="NMN62" s="10"/>
      <c r="NMO62" s="10"/>
      <c r="NMP62" s="10"/>
      <c r="NMQ62" s="10"/>
      <c r="NMR62" s="10"/>
      <c r="NMS62" s="10"/>
      <c r="NMT62" s="10"/>
      <c r="NMU62" s="10"/>
      <c r="NMV62" s="10"/>
      <c r="NMW62" s="10"/>
      <c r="NMX62" s="10"/>
      <c r="NMY62" s="10"/>
      <c r="NMZ62" s="10"/>
      <c r="NNA62" s="10"/>
      <c r="NNB62" s="10"/>
      <c r="NNC62" s="10"/>
      <c r="NND62" s="10"/>
      <c r="NNE62" s="10"/>
      <c r="NNF62" s="10"/>
      <c r="NNG62" s="10"/>
      <c r="NNH62" s="10"/>
      <c r="NNI62" s="10"/>
      <c r="NNJ62" s="10"/>
      <c r="NNK62" s="10"/>
      <c r="NNL62" s="10"/>
      <c r="NNM62" s="10"/>
      <c r="NNN62" s="10"/>
      <c r="NNO62" s="10"/>
      <c r="NNP62" s="10"/>
      <c r="NNQ62" s="10"/>
      <c r="NNR62" s="10"/>
      <c r="NNS62" s="10"/>
      <c r="NNT62" s="10"/>
      <c r="NNU62" s="10"/>
      <c r="NNV62" s="10"/>
      <c r="NNW62" s="10"/>
      <c r="NNX62" s="10"/>
      <c r="NNY62" s="10"/>
      <c r="NNZ62" s="10"/>
      <c r="NOA62" s="10"/>
      <c r="NOB62" s="10"/>
      <c r="NOC62" s="10"/>
      <c r="NOD62" s="10"/>
      <c r="NOE62" s="10"/>
      <c r="NOF62" s="10"/>
      <c r="NOG62" s="10"/>
      <c r="NOH62" s="10"/>
      <c r="NOI62" s="10"/>
      <c r="NOJ62" s="10"/>
      <c r="NOK62" s="10"/>
      <c r="NOL62" s="10"/>
      <c r="NOM62" s="10"/>
      <c r="NON62" s="10"/>
      <c r="NOO62" s="10"/>
      <c r="NOP62" s="10"/>
      <c r="NOQ62" s="10"/>
      <c r="NOR62" s="10"/>
      <c r="NOS62" s="10"/>
      <c r="NOT62" s="10"/>
      <c r="NOU62" s="10"/>
      <c r="NOV62" s="10"/>
      <c r="NOW62" s="10"/>
      <c r="NOX62" s="10"/>
      <c r="NOY62" s="10"/>
      <c r="NOZ62" s="10"/>
      <c r="NPA62" s="10"/>
      <c r="NPB62" s="10"/>
      <c r="NPC62" s="10"/>
      <c r="NPD62" s="10"/>
      <c r="NPE62" s="10"/>
      <c r="NPF62" s="10"/>
      <c r="NPG62" s="10"/>
      <c r="NPH62" s="10"/>
      <c r="NPI62" s="10"/>
      <c r="NPJ62" s="10"/>
      <c r="NPK62" s="10"/>
      <c r="NPL62" s="10"/>
      <c r="NPM62" s="10"/>
      <c r="NPN62" s="10"/>
      <c r="NPO62" s="10"/>
      <c r="NPP62" s="10"/>
      <c r="NPQ62" s="10"/>
      <c r="NPR62" s="10"/>
      <c r="NPS62" s="10"/>
      <c r="NPT62" s="10"/>
      <c r="NPU62" s="10"/>
      <c r="NPV62" s="10"/>
      <c r="NPW62" s="10"/>
      <c r="NPX62" s="10"/>
      <c r="NPY62" s="10"/>
      <c r="NPZ62" s="10"/>
      <c r="NQA62" s="10"/>
      <c r="NQB62" s="10"/>
      <c r="NQC62" s="10"/>
      <c r="NQD62" s="10"/>
      <c r="NQE62" s="10"/>
      <c r="NQF62" s="10"/>
      <c r="NQG62" s="10"/>
      <c r="NQH62" s="10"/>
      <c r="NQI62" s="10"/>
      <c r="NQJ62" s="10"/>
      <c r="NQK62" s="10"/>
      <c r="NQL62" s="10"/>
      <c r="NQM62" s="10"/>
      <c r="NQN62" s="10"/>
      <c r="NQO62" s="10"/>
      <c r="NQP62" s="10"/>
      <c r="NQQ62" s="10"/>
      <c r="NQR62" s="10"/>
      <c r="NQS62" s="10"/>
      <c r="NQT62" s="10"/>
      <c r="NQU62" s="10"/>
      <c r="NQV62" s="10"/>
      <c r="NQW62" s="10"/>
      <c r="NQX62" s="10"/>
      <c r="NQY62" s="10"/>
      <c r="NQZ62" s="10"/>
      <c r="NRA62" s="10"/>
      <c r="NRB62" s="10"/>
      <c r="NRC62" s="10"/>
      <c r="NRD62" s="10"/>
      <c r="NRE62" s="10"/>
      <c r="NRF62" s="10"/>
      <c r="NRG62" s="10"/>
      <c r="NRH62" s="10"/>
      <c r="NRI62" s="10"/>
      <c r="NRJ62" s="10"/>
      <c r="NRK62" s="10"/>
      <c r="NRL62" s="10"/>
      <c r="NRM62" s="10"/>
      <c r="NRN62" s="10"/>
      <c r="NRO62" s="10"/>
      <c r="NRP62" s="10"/>
      <c r="NRQ62" s="10"/>
      <c r="NRR62" s="10"/>
      <c r="NRS62" s="10"/>
      <c r="NRT62" s="10"/>
      <c r="NRU62" s="10"/>
      <c r="NRV62" s="10"/>
      <c r="NRW62" s="10"/>
      <c r="NRX62" s="10"/>
      <c r="NRY62" s="10"/>
      <c r="NRZ62" s="10"/>
      <c r="NSA62" s="10"/>
      <c r="NSB62" s="10"/>
      <c r="NSC62" s="10"/>
      <c r="NSD62" s="10"/>
      <c r="NSE62" s="10"/>
      <c r="NSF62" s="10"/>
      <c r="NSG62" s="10"/>
      <c r="NSH62" s="10"/>
      <c r="NSI62" s="10"/>
      <c r="NSJ62" s="10"/>
      <c r="NSK62" s="10"/>
      <c r="NSL62" s="10"/>
      <c r="NSM62" s="10"/>
      <c r="NSN62" s="10"/>
      <c r="NSO62" s="10"/>
      <c r="NSP62" s="10"/>
      <c r="NSQ62" s="10"/>
      <c r="NSR62" s="10"/>
      <c r="NSS62" s="10"/>
      <c r="NST62" s="10"/>
      <c r="NSU62" s="10"/>
      <c r="NSV62" s="10"/>
      <c r="NSW62" s="10"/>
      <c r="NSX62" s="10"/>
      <c r="NSY62" s="10"/>
      <c r="NSZ62" s="10"/>
      <c r="NTA62" s="10"/>
      <c r="NTB62" s="10"/>
      <c r="NTC62" s="10"/>
      <c r="NTD62" s="10"/>
      <c r="NTE62" s="10"/>
      <c r="NTF62" s="10"/>
      <c r="NTG62" s="10"/>
      <c r="NTH62" s="10"/>
      <c r="NTI62" s="10"/>
      <c r="NTJ62" s="10"/>
      <c r="NTK62" s="10"/>
      <c r="NTL62" s="10"/>
      <c r="NTM62" s="10"/>
      <c r="NTN62" s="10"/>
      <c r="NTO62" s="10"/>
      <c r="NTP62" s="10"/>
      <c r="NTQ62" s="10"/>
      <c r="NTR62" s="10"/>
      <c r="NTS62" s="10"/>
      <c r="NTT62" s="10"/>
      <c r="NTU62" s="10"/>
      <c r="NTV62" s="10"/>
      <c r="NTW62" s="10"/>
      <c r="NTX62" s="10"/>
      <c r="NTY62" s="10"/>
      <c r="NTZ62" s="10"/>
      <c r="NUA62" s="10"/>
      <c r="NUB62" s="10"/>
      <c r="NUC62" s="10"/>
      <c r="NUD62" s="10"/>
      <c r="NUE62" s="10"/>
      <c r="NUF62" s="10"/>
      <c r="NUG62" s="10"/>
      <c r="NUH62" s="10"/>
      <c r="NUI62" s="10"/>
      <c r="NUJ62" s="10"/>
      <c r="NUK62" s="10"/>
      <c r="NUL62" s="10"/>
      <c r="NUM62" s="10"/>
      <c r="NUN62" s="10"/>
      <c r="NUO62" s="10"/>
      <c r="NUP62" s="10"/>
      <c r="NUQ62" s="10"/>
      <c r="NUR62" s="10"/>
      <c r="NUS62" s="10"/>
      <c r="NUT62" s="10"/>
      <c r="NUU62" s="10"/>
      <c r="NUV62" s="10"/>
      <c r="NUW62" s="10"/>
      <c r="NUX62" s="10"/>
      <c r="NUY62" s="10"/>
      <c r="NUZ62" s="10"/>
      <c r="NVA62" s="10"/>
      <c r="NVB62" s="10"/>
      <c r="NVC62" s="10"/>
      <c r="NVD62" s="10"/>
      <c r="NVE62" s="10"/>
      <c r="NVF62" s="10"/>
      <c r="NVG62" s="10"/>
      <c r="NVH62" s="10"/>
      <c r="NVI62" s="10"/>
      <c r="NVJ62" s="10"/>
      <c r="NVK62" s="10"/>
      <c r="NVL62" s="10"/>
      <c r="NVM62" s="10"/>
      <c r="NVN62" s="10"/>
      <c r="NVO62" s="10"/>
      <c r="NVP62" s="10"/>
      <c r="NVQ62" s="10"/>
      <c r="NVR62" s="10"/>
      <c r="NVS62" s="10"/>
      <c r="NVT62" s="10"/>
      <c r="NVU62" s="10"/>
      <c r="NVV62" s="10"/>
      <c r="NVW62" s="10"/>
      <c r="NVX62" s="10"/>
      <c r="NVY62" s="10"/>
      <c r="NVZ62" s="10"/>
      <c r="NWA62" s="10"/>
      <c r="NWB62" s="10"/>
      <c r="NWC62" s="10"/>
      <c r="NWD62" s="10"/>
      <c r="NWE62" s="10"/>
      <c r="NWF62" s="10"/>
      <c r="NWG62" s="10"/>
      <c r="NWH62" s="10"/>
      <c r="NWI62" s="10"/>
      <c r="NWJ62" s="10"/>
      <c r="NWK62" s="10"/>
      <c r="NWL62" s="10"/>
      <c r="NWM62" s="10"/>
      <c r="NWN62" s="10"/>
      <c r="NWO62" s="10"/>
      <c r="NWP62" s="10"/>
      <c r="NWQ62" s="10"/>
      <c r="NWR62" s="10"/>
      <c r="NWS62" s="10"/>
      <c r="NWT62" s="10"/>
      <c r="NWU62" s="10"/>
      <c r="NWV62" s="10"/>
      <c r="NWW62" s="10"/>
      <c r="NWX62" s="10"/>
      <c r="NWY62" s="10"/>
      <c r="NWZ62" s="10"/>
      <c r="NXA62" s="10"/>
      <c r="NXB62" s="10"/>
      <c r="NXC62" s="10"/>
      <c r="NXD62" s="10"/>
      <c r="NXE62" s="10"/>
      <c r="NXF62" s="10"/>
      <c r="NXG62" s="10"/>
      <c r="NXH62" s="10"/>
      <c r="NXI62" s="10"/>
      <c r="NXJ62" s="10"/>
      <c r="NXK62" s="10"/>
      <c r="NXL62" s="10"/>
      <c r="NXM62" s="10"/>
      <c r="NXN62" s="10"/>
      <c r="NXO62" s="10"/>
      <c r="NXP62" s="10"/>
      <c r="NXQ62" s="10"/>
      <c r="NXR62" s="10"/>
      <c r="NXS62" s="10"/>
      <c r="NXT62" s="10"/>
      <c r="NXU62" s="10"/>
      <c r="NXV62" s="10"/>
      <c r="NXW62" s="10"/>
      <c r="NXX62" s="10"/>
      <c r="NXY62" s="10"/>
      <c r="NXZ62" s="10"/>
      <c r="NYA62" s="10"/>
      <c r="NYB62" s="10"/>
      <c r="NYC62" s="10"/>
      <c r="NYD62" s="10"/>
      <c r="NYE62" s="10"/>
      <c r="NYF62" s="10"/>
      <c r="NYG62" s="10"/>
      <c r="NYH62" s="10"/>
      <c r="NYI62" s="10"/>
      <c r="NYJ62" s="10"/>
      <c r="NYK62" s="10"/>
      <c r="NYL62" s="10"/>
      <c r="NYM62" s="10"/>
      <c r="NYN62" s="10"/>
      <c r="NYO62" s="10"/>
      <c r="NYP62" s="10"/>
      <c r="NYQ62" s="10"/>
      <c r="NYR62" s="10"/>
      <c r="NYS62" s="10"/>
      <c r="NYT62" s="10"/>
      <c r="NYU62" s="10"/>
      <c r="NYV62" s="10"/>
      <c r="NYW62" s="10"/>
      <c r="NYX62" s="10"/>
      <c r="NYY62" s="10"/>
      <c r="NYZ62" s="10"/>
      <c r="NZA62" s="10"/>
      <c r="NZB62" s="10"/>
      <c r="NZC62" s="10"/>
      <c r="NZD62" s="10"/>
      <c r="NZE62" s="10"/>
      <c r="NZF62" s="10"/>
      <c r="NZG62" s="10"/>
      <c r="NZH62" s="10"/>
      <c r="NZI62" s="10"/>
      <c r="NZJ62" s="10"/>
      <c r="NZK62" s="10"/>
      <c r="NZL62" s="10"/>
      <c r="NZM62" s="10"/>
      <c r="NZN62" s="10"/>
      <c r="NZO62" s="10"/>
      <c r="NZP62" s="10"/>
      <c r="NZQ62" s="10"/>
      <c r="NZR62" s="10"/>
      <c r="NZS62" s="10"/>
      <c r="NZT62" s="10"/>
      <c r="NZU62" s="10"/>
      <c r="NZV62" s="10"/>
      <c r="NZW62" s="10"/>
      <c r="NZX62" s="10"/>
      <c r="NZY62" s="10"/>
      <c r="NZZ62" s="10"/>
      <c r="OAA62" s="10"/>
      <c r="OAB62" s="10"/>
      <c r="OAC62" s="10"/>
      <c r="OAD62" s="10"/>
      <c r="OAE62" s="10"/>
      <c r="OAF62" s="10"/>
      <c r="OAG62" s="10"/>
      <c r="OAH62" s="10"/>
      <c r="OAI62" s="10"/>
      <c r="OAJ62" s="10"/>
      <c r="OAK62" s="10"/>
      <c r="OAL62" s="10"/>
      <c r="OAM62" s="10"/>
      <c r="OAN62" s="10"/>
      <c r="OAO62" s="10"/>
      <c r="OAP62" s="10"/>
      <c r="OAQ62" s="10"/>
      <c r="OAR62" s="10"/>
      <c r="OAS62" s="10"/>
      <c r="OAT62" s="10"/>
      <c r="OAU62" s="10"/>
      <c r="OAV62" s="10"/>
      <c r="OAW62" s="10"/>
      <c r="OAX62" s="10"/>
      <c r="OAY62" s="10"/>
      <c r="OAZ62" s="10"/>
      <c r="OBA62" s="10"/>
      <c r="OBB62" s="10"/>
      <c r="OBC62" s="10"/>
      <c r="OBD62" s="10"/>
      <c r="OBE62" s="10"/>
      <c r="OBF62" s="10"/>
      <c r="OBG62" s="10"/>
      <c r="OBH62" s="10"/>
      <c r="OBI62" s="10"/>
      <c r="OBJ62" s="10"/>
      <c r="OBK62" s="10"/>
      <c r="OBL62" s="10"/>
      <c r="OBM62" s="10"/>
      <c r="OBN62" s="10"/>
      <c r="OBO62" s="10"/>
      <c r="OBP62" s="10"/>
      <c r="OBQ62" s="10"/>
      <c r="OBR62" s="10"/>
      <c r="OBS62" s="10"/>
      <c r="OBT62" s="10"/>
      <c r="OBU62" s="10"/>
      <c r="OBV62" s="10"/>
      <c r="OBW62" s="10"/>
      <c r="OBX62" s="10"/>
      <c r="OBY62" s="10"/>
      <c r="OBZ62" s="10"/>
      <c r="OCA62" s="10"/>
      <c r="OCB62" s="10"/>
      <c r="OCC62" s="10"/>
      <c r="OCD62" s="10"/>
      <c r="OCE62" s="10"/>
      <c r="OCF62" s="10"/>
      <c r="OCG62" s="10"/>
      <c r="OCH62" s="10"/>
      <c r="OCI62" s="10"/>
      <c r="OCJ62" s="10"/>
      <c r="OCK62" s="10"/>
      <c r="OCL62" s="10"/>
      <c r="OCM62" s="10"/>
      <c r="OCN62" s="10"/>
      <c r="OCO62" s="10"/>
      <c r="OCP62" s="10"/>
      <c r="OCQ62" s="10"/>
      <c r="OCR62" s="10"/>
      <c r="OCS62" s="10"/>
      <c r="OCT62" s="10"/>
      <c r="OCU62" s="10"/>
      <c r="OCV62" s="10"/>
      <c r="OCW62" s="10"/>
      <c r="OCX62" s="10"/>
      <c r="OCY62" s="10"/>
      <c r="OCZ62" s="10"/>
      <c r="ODA62" s="10"/>
      <c r="ODB62" s="10"/>
      <c r="ODC62" s="10"/>
      <c r="ODD62" s="10"/>
      <c r="ODE62" s="10"/>
      <c r="ODF62" s="10"/>
      <c r="ODG62" s="10"/>
      <c r="ODH62" s="10"/>
      <c r="ODI62" s="10"/>
      <c r="ODJ62" s="10"/>
      <c r="ODK62" s="10"/>
      <c r="ODL62" s="10"/>
      <c r="ODM62" s="10"/>
      <c r="ODN62" s="10"/>
      <c r="ODO62" s="10"/>
      <c r="ODP62" s="10"/>
      <c r="ODQ62" s="10"/>
      <c r="ODR62" s="10"/>
      <c r="ODS62" s="10"/>
      <c r="ODT62" s="10"/>
      <c r="ODU62" s="10"/>
      <c r="ODV62" s="10"/>
      <c r="ODW62" s="10"/>
      <c r="ODX62" s="10"/>
      <c r="ODY62" s="10"/>
      <c r="ODZ62" s="10"/>
      <c r="OEA62" s="10"/>
      <c r="OEB62" s="10"/>
      <c r="OEC62" s="10"/>
      <c r="OED62" s="10"/>
      <c r="OEE62" s="10"/>
      <c r="OEF62" s="10"/>
      <c r="OEG62" s="10"/>
      <c r="OEH62" s="10"/>
      <c r="OEI62" s="10"/>
      <c r="OEJ62" s="10"/>
      <c r="OEK62" s="10"/>
      <c r="OEL62" s="10"/>
      <c r="OEM62" s="10"/>
      <c r="OEN62" s="10"/>
      <c r="OEO62" s="10"/>
      <c r="OEP62" s="10"/>
      <c r="OEQ62" s="10"/>
      <c r="OER62" s="10"/>
      <c r="OES62" s="10"/>
      <c r="OET62" s="10"/>
      <c r="OEU62" s="10"/>
      <c r="OEV62" s="10"/>
      <c r="OEW62" s="10"/>
      <c r="OEX62" s="10"/>
      <c r="OEY62" s="10"/>
      <c r="OEZ62" s="10"/>
      <c r="OFA62" s="10"/>
      <c r="OFB62" s="10"/>
      <c r="OFC62" s="10"/>
      <c r="OFD62" s="10"/>
      <c r="OFE62" s="10"/>
      <c r="OFF62" s="10"/>
      <c r="OFG62" s="10"/>
      <c r="OFH62" s="10"/>
      <c r="OFI62" s="10"/>
      <c r="OFJ62" s="10"/>
      <c r="OFK62" s="10"/>
      <c r="OFL62" s="10"/>
      <c r="OFM62" s="10"/>
      <c r="OFN62" s="10"/>
      <c r="OFO62" s="10"/>
      <c r="OFP62" s="10"/>
      <c r="OFQ62" s="10"/>
      <c r="OFR62" s="10"/>
      <c r="OFS62" s="10"/>
      <c r="OFT62" s="10"/>
      <c r="OFU62" s="10"/>
      <c r="OFV62" s="10"/>
      <c r="OFW62" s="10"/>
      <c r="OFX62" s="10"/>
      <c r="OFY62" s="10"/>
      <c r="OFZ62" s="10"/>
      <c r="OGA62" s="10"/>
      <c r="OGB62" s="10"/>
      <c r="OGC62" s="10"/>
      <c r="OGD62" s="10"/>
      <c r="OGE62" s="10"/>
      <c r="OGF62" s="10"/>
      <c r="OGG62" s="10"/>
      <c r="OGH62" s="10"/>
      <c r="OGI62" s="10"/>
      <c r="OGJ62" s="10"/>
      <c r="OGK62" s="10"/>
      <c r="OGL62" s="10"/>
      <c r="OGM62" s="10"/>
      <c r="OGN62" s="10"/>
      <c r="OGO62" s="10"/>
      <c r="OGP62" s="10"/>
      <c r="OGQ62" s="10"/>
      <c r="OGR62" s="10"/>
      <c r="OGS62" s="10"/>
      <c r="OGT62" s="10"/>
      <c r="OGU62" s="10"/>
      <c r="OGV62" s="10"/>
      <c r="OGW62" s="10"/>
      <c r="OGX62" s="10"/>
      <c r="OGY62" s="10"/>
      <c r="OGZ62" s="10"/>
      <c r="OHA62" s="10"/>
      <c r="OHB62" s="10"/>
      <c r="OHC62" s="10"/>
      <c r="OHD62" s="10"/>
      <c r="OHE62" s="10"/>
      <c r="OHF62" s="10"/>
      <c r="OHG62" s="10"/>
      <c r="OHH62" s="10"/>
      <c r="OHI62" s="10"/>
      <c r="OHJ62" s="10"/>
      <c r="OHK62" s="10"/>
      <c r="OHL62" s="10"/>
      <c r="OHM62" s="10"/>
      <c r="OHN62" s="10"/>
      <c r="OHO62" s="10"/>
      <c r="OHP62" s="10"/>
      <c r="OHQ62" s="10"/>
      <c r="OHR62" s="10"/>
      <c r="OHS62" s="10"/>
      <c r="OHT62" s="10"/>
      <c r="OHU62" s="10"/>
      <c r="OHV62" s="10"/>
      <c r="OHW62" s="10"/>
      <c r="OHX62" s="10"/>
      <c r="OHY62" s="10"/>
      <c r="OHZ62" s="10"/>
      <c r="OIA62" s="10"/>
      <c r="OIB62" s="10"/>
      <c r="OIC62" s="10"/>
      <c r="OID62" s="10"/>
      <c r="OIE62" s="10"/>
      <c r="OIF62" s="10"/>
      <c r="OIG62" s="10"/>
      <c r="OIH62" s="10"/>
      <c r="OII62" s="10"/>
      <c r="OIJ62" s="10"/>
      <c r="OIK62" s="10"/>
      <c r="OIL62" s="10"/>
      <c r="OIM62" s="10"/>
      <c r="OIN62" s="10"/>
      <c r="OIO62" s="10"/>
      <c r="OIP62" s="10"/>
      <c r="OIQ62" s="10"/>
      <c r="OIR62" s="10"/>
      <c r="OIS62" s="10"/>
      <c r="OIT62" s="10"/>
      <c r="OIU62" s="10"/>
      <c r="OIV62" s="10"/>
      <c r="OIW62" s="10"/>
      <c r="OIX62" s="10"/>
      <c r="OIY62" s="10"/>
      <c r="OIZ62" s="10"/>
      <c r="OJA62" s="10"/>
      <c r="OJB62" s="10"/>
      <c r="OJC62" s="10"/>
      <c r="OJD62" s="10"/>
      <c r="OJE62" s="10"/>
      <c r="OJF62" s="10"/>
      <c r="OJG62" s="10"/>
      <c r="OJH62" s="10"/>
      <c r="OJI62" s="10"/>
      <c r="OJJ62" s="10"/>
      <c r="OJK62" s="10"/>
      <c r="OJL62" s="10"/>
      <c r="OJM62" s="10"/>
      <c r="OJN62" s="10"/>
      <c r="OJO62" s="10"/>
      <c r="OJP62" s="10"/>
      <c r="OJQ62" s="10"/>
      <c r="OJR62" s="10"/>
      <c r="OJS62" s="10"/>
      <c r="OJT62" s="10"/>
      <c r="OJU62" s="10"/>
      <c r="OJV62" s="10"/>
      <c r="OJW62" s="10"/>
      <c r="OJX62" s="10"/>
      <c r="OJY62" s="10"/>
      <c r="OJZ62" s="10"/>
      <c r="OKA62" s="10"/>
      <c r="OKB62" s="10"/>
      <c r="OKC62" s="10"/>
      <c r="OKD62" s="10"/>
      <c r="OKE62" s="10"/>
      <c r="OKF62" s="10"/>
      <c r="OKG62" s="10"/>
      <c r="OKH62" s="10"/>
      <c r="OKI62" s="10"/>
      <c r="OKJ62" s="10"/>
      <c r="OKK62" s="10"/>
      <c r="OKL62" s="10"/>
      <c r="OKM62" s="10"/>
      <c r="OKN62" s="10"/>
      <c r="OKO62" s="10"/>
      <c r="OKP62" s="10"/>
      <c r="OKQ62" s="10"/>
      <c r="OKR62" s="10"/>
      <c r="OKS62" s="10"/>
      <c r="OKT62" s="10"/>
      <c r="OKU62" s="10"/>
      <c r="OKV62" s="10"/>
      <c r="OKW62" s="10"/>
      <c r="OKX62" s="10"/>
      <c r="OKY62" s="10"/>
      <c r="OKZ62" s="10"/>
      <c r="OLA62" s="10"/>
      <c r="OLB62" s="10"/>
      <c r="OLC62" s="10"/>
      <c r="OLD62" s="10"/>
      <c r="OLE62" s="10"/>
      <c r="OLF62" s="10"/>
      <c r="OLG62" s="10"/>
      <c r="OLH62" s="10"/>
      <c r="OLI62" s="10"/>
      <c r="OLJ62" s="10"/>
      <c r="OLK62" s="10"/>
      <c r="OLL62" s="10"/>
      <c r="OLM62" s="10"/>
      <c r="OLN62" s="10"/>
      <c r="OLO62" s="10"/>
      <c r="OLP62" s="10"/>
      <c r="OLQ62" s="10"/>
      <c r="OLR62" s="10"/>
      <c r="OLS62" s="10"/>
      <c r="OLT62" s="10"/>
      <c r="OLU62" s="10"/>
      <c r="OLV62" s="10"/>
      <c r="OLW62" s="10"/>
      <c r="OLX62" s="10"/>
      <c r="OLY62" s="10"/>
      <c r="OLZ62" s="10"/>
      <c r="OMA62" s="10"/>
      <c r="OMB62" s="10"/>
      <c r="OMC62" s="10"/>
      <c r="OMD62" s="10"/>
      <c r="OME62" s="10"/>
      <c r="OMF62" s="10"/>
      <c r="OMG62" s="10"/>
      <c r="OMH62" s="10"/>
      <c r="OMI62" s="10"/>
      <c r="OMJ62" s="10"/>
      <c r="OMK62" s="10"/>
      <c r="OML62" s="10"/>
      <c r="OMM62" s="10"/>
      <c r="OMN62" s="10"/>
      <c r="OMO62" s="10"/>
      <c r="OMP62" s="10"/>
      <c r="OMQ62" s="10"/>
      <c r="OMR62" s="10"/>
      <c r="OMS62" s="10"/>
      <c r="OMT62" s="10"/>
      <c r="OMU62" s="10"/>
      <c r="OMV62" s="10"/>
      <c r="OMW62" s="10"/>
      <c r="OMX62" s="10"/>
      <c r="OMY62" s="10"/>
      <c r="OMZ62" s="10"/>
      <c r="ONA62" s="10"/>
      <c r="ONB62" s="10"/>
      <c r="ONC62" s="10"/>
      <c r="OND62" s="10"/>
      <c r="ONE62" s="10"/>
      <c r="ONF62" s="10"/>
      <c r="ONG62" s="10"/>
      <c r="ONH62" s="10"/>
      <c r="ONI62" s="10"/>
      <c r="ONJ62" s="10"/>
      <c r="ONK62" s="10"/>
      <c r="ONL62" s="10"/>
      <c r="ONM62" s="10"/>
      <c r="ONN62" s="10"/>
      <c r="ONO62" s="10"/>
      <c r="ONP62" s="10"/>
      <c r="ONQ62" s="10"/>
      <c r="ONR62" s="10"/>
      <c r="ONS62" s="10"/>
      <c r="ONT62" s="10"/>
      <c r="ONU62" s="10"/>
      <c r="ONV62" s="10"/>
      <c r="ONW62" s="10"/>
      <c r="ONX62" s="10"/>
      <c r="ONY62" s="10"/>
      <c r="ONZ62" s="10"/>
      <c r="OOA62" s="10"/>
      <c r="OOB62" s="10"/>
      <c r="OOC62" s="10"/>
      <c r="OOD62" s="10"/>
      <c r="OOE62" s="10"/>
      <c r="OOF62" s="10"/>
      <c r="OOG62" s="10"/>
      <c r="OOH62" s="10"/>
      <c r="OOI62" s="10"/>
      <c r="OOJ62" s="10"/>
      <c r="OOK62" s="10"/>
      <c r="OOL62" s="10"/>
      <c r="OOM62" s="10"/>
      <c r="OON62" s="10"/>
      <c r="OOO62" s="10"/>
      <c r="OOP62" s="10"/>
      <c r="OOQ62" s="10"/>
      <c r="OOR62" s="10"/>
      <c r="OOS62" s="10"/>
      <c r="OOT62" s="10"/>
      <c r="OOU62" s="10"/>
      <c r="OOV62" s="10"/>
      <c r="OOW62" s="10"/>
      <c r="OOX62" s="10"/>
      <c r="OOY62" s="10"/>
      <c r="OOZ62" s="10"/>
      <c r="OPA62" s="10"/>
      <c r="OPB62" s="10"/>
      <c r="OPC62" s="10"/>
      <c r="OPD62" s="10"/>
      <c r="OPE62" s="10"/>
      <c r="OPF62" s="10"/>
      <c r="OPG62" s="10"/>
      <c r="OPH62" s="10"/>
      <c r="OPI62" s="10"/>
      <c r="OPJ62" s="10"/>
      <c r="OPK62" s="10"/>
      <c r="OPL62" s="10"/>
      <c r="OPM62" s="10"/>
      <c r="OPN62" s="10"/>
      <c r="OPO62" s="10"/>
      <c r="OPP62" s="10"/>
      <c r="OPQ62" s="10"/>
      <c r="OPR62" s="10"/>
      <c r="OPS62" s="10"/>
      <c r="OPT62" s="10"/>
      <c r="OPU62" s="10"/>
      <c r="OPV62" s="10"/>
      <c r="OPW62" s="10"/>
      <c r="OPX62" s="10"/>
      <c r="OPY62" s="10"/>
      <c r="OPZ62" s="10"/>
      <c r="OQA62" s="10"/>
      <c r="OQB62" s="10"/>
      <c r="OQC62" s="10"/>
      <c r="OQD62" s="10"/>
      <c r="OQE62" s="10"/>
      <c r="OQF62" s="10"/>
      <c r="OQG62" s="10"/>
      <c r="OQH62" s="10"/>
      <c r="OQI62" s="10"/>
      <c r="OQJ62" s="10"/>
      <c r="OQK62" s="10"/>
      <c r="OQL62" s="10"/>
      <c r="OQM62" s="10"/>
      <c r="OQN62" s="10"/>
      <c r="OQO62" s="10"/>
      <c r="OQP62" s="10"/>
      <c r="OQQ62" s="10"/>
      <c r="OQR62" s="10"/>
      <c r="OQS62" s="10"/>
      <c r="OQT62" s="10"/>
      <c r="OQU62" s="10"/>
      <c r="OQV62" s="10"/>
      <c r="OQW62" s="10"/>
      <c r="OQX62" s="10"/>
      <c r="OQY62" s="10"/>
      <c r="OQZ62" s="10"/>
      <c r="ORA62" s="10"/>
      <c r="ORB62" s="10"/>
      <c r="ORC62" s="10"/>
      <c r="ORD62" s="10"/>
      <c r="ORE62" s="10"/>
      <c r="ORF62" s="10"/>
      <c r="ORG62" s="10"/>
      <c r="ORH62" s="10"/>
      <c r="ORI62" s="10"/>
      <c r="ORJ62" s="10"/>
      <c r="ORK62" s="10"/>
      <c r="ORL62" s="10"/>
      <c r="ORM62" s="10"/>
      <c r="ORN62" s="10"/>
      <c r="ORO62" s="10"/>
      <c r="ORP62" s="10"/>
      <c r="ORQ62" s="10"/>
      <c r="ORR62" s="10"/>
      <c r="ORS62" s="10"/>
      <c r="ORT62" s="10"/>
      <c r="ORU62" s="10"/>
      <c r="ORV62" s="10"/>
      <c r="ORW62" s="10"/>
      <c r="ORX62" s="10"/>
      <c r="ORY62" s="10"/>
      <c r="ORZ62" s="10"/>
      <c r="OSA62" s="10"/>
      <c r="OSB62" s="10"/>
      <c r="OSC62" s="10"/>
      <c r="OSD62" s="10"/>
      <c r="OSE62" s="10"/>
      <c r="OSF62" s="10"/>
      <c r="OSG62" s="10"/>
      <c r="OSH62" s="10"/>
      <c r="OSI62" s="10"/>
      <c r="OSJ62" s="10"/>
      <c r="OSK62" s="10"/>
      <c r="OSL62" s="10"/>
      <c r="OSM62" s="10"/>
      <c r="OSN62" s="10"/>
      <c r="OSO62" s="10"/>
      <c r="OSP62" s="10"/>
      <c r="OSQ62" s="10"/>
      <c r="OSR62" s="10"/>
      <c r="OSS62" s="10"/>
      <c r="OST62" s="10"/>
      <c r="OSU62" s="10"/>
      <c r="OSV62" s="10"/>
      <c r="OSW62" s="10"/>
      <c r="OSX62" s="10"/>
      <c r="OSY62" s="10"/>
      <c r="OSZ62" s="10"/>
      <c r="OTA62" s="10"/>
      <c r="OTB62" s="10"/>
      <c r="OTC62" s="10"/>
      <c r="OTD62" s="10"/>
      <c r="OTE62" s="10"/>
      <c r="OTF62" s="10"/>
      <c r="OTG62" s="10"/>
      <c r="OTH62" s="10"/>
      <c r="OTI62" s="10"/>
      <c r="OTJ62" s="10"/>
      <c r="OTK62" s="10"/>
      <c r="OTL62" s="10"/>
      <c r="OTM62" s="10"/>
      <c r="OTN62" s="10"/>
      <c r="OTO62" s="10"/>
      <c r="OTP62" s="10"/>
      <c r="OTQ62" s="10"/>
      <c r="OTR62" s="10"/>
      <c r="OTS62" s="10"/>
      <c r="OTT62" s="10"/>
      <c r="OTU62" s="10"/>
      <c r="OTV62" s="10"/>
      <c r="OTW62" s="10"/>
      <c r="OTX62" s="10"/>
      <c r="OTY62" s="10"/>
      <c r="OTZ62" s="10"/>
      <c r="OUA62" s="10"/>
      <c r="OUB62" s="10"/>
      <c r="OUC62" s="10"/>
      <c r="OUD62" s="10"/>
      <c r="OUE62" s="10"/>
      <c r="OUF62" s="10"/>
      <c r="OUG62" s="10"/>
      <c r="OUH62" s="10"/>
      <c r="OUI62" s="10"/>
      <c r="OUJ62" s="10"/>
      <c r="OUK62" s="10"/>
      <c r="OUL62" s="10"/>
      <c r="OUM62" s="10"/>
      <c r="OUN62" s="10"/>
      <c r="OUO62" s="10"/>
      <c r="OUP62" s="10"/>
      <c r="OUQ62" s="10"/>
      <c r="OUR62" s="10"/>
      <c r="OUS62" s="10"/>
      <c r="OUT62" s="10"/>
      <c r="OUU62" s="10"/>
      <c r="OUV62" s="10"/>
      <c r="OUW62" s="10"/>
      <c r="OUX62" s="10"/>
      <c r="OUY62" s="10"/>
      <c r="OUZ62" s="10"/>
      <c r="OVA62" s="10"/>
      <c r="OVB62" s="10"/>
      <c r="OVC62" s="10"/>
      <c r="OVD62" s="10"/>
      <c r="OVE62" s="10"/>
      <c r="OVF62" s="10"/>
      <c r="OVG62" s="10"/>
      <c r="OVH62" s="10"/>
      <c r="OVI62" s="10"/>
      <c r="OVJ62" s="10"/>
      <c r="OVK62" s="10"/>
      <c r="OVL62" s="10"/>
      <c r="OVM62" s="10"/>
      <c r="OVN62" s="10"/>
      <c r="OVO62" s="10"/>
      <c r="OVP62" s="10"/>
      <c r="OVQ62" s="10"/>
      <c r="OVR62" s="10"/>
      <c r="OVS62" s="10"/>
      <c r="OVT62" s="10"/>
      <c r="OVU62" s="10"/>
      <c r="OVV62" s="10"/>
      <c r="OVW62" s="10"/>
      <c r="OVX62" s="10"/>
      <c r="OVY62" s="10"/>
      <c r="OVZ62" s="10"/>
      <c r="OWA62" s="10"/>
      <c r="OWB62" s="10"/>
      <c r="OWC62" s="10"/>
      <c r="OWD62" s="10"/>
      <c r="OWE62" s="10"/>
      <c r="OWF62" s="10"/>
      <c r="OWG62" s="10"/>
      <c r="OWH62" s="10"/>
      <c r="OWI62" s="10"/>
      <c r="OWJ62" s="10"/>
      <c r="OWK62" s="10"/>
      <c r="OWL62" s="10"/>
      <c r="OWM62" s="10"/>
      <c r="OWN62" s="10"/>
      <c r="OWO62" s="10"/>
      <c r="OWP62" s="10"/>
      <c r="OWQ62" s="10"/>
      <c r="OWR62" s="10"/>
      <c r="OWS62" s="10"/>
      <c r="OWT62" s="10"/>
      <c r="OWU62" s="10"/>
      <c r="OWV62" s="10"/>
      <c r="OWW62" s="10"/>
      <c r="OWX62" s="10"/>
      <c r="OWY62" s="10"/>
      <c r="OWZ62" s="10"/>
      <c r="OXA62" s="10"/>
      <c r="OXB62" s="10"/>
      <c r="OXC62" s="10"/>
      <c r="OXD62" s="10"/>
      <c r="OXE62" s="10"/>
      <c r="OXF62" s="10"/>
      <c r="OXG62" s="10"/>
      <c r="OXH62" s="10"/>
      <c r="OXI62" s="10"/>
      <c r="OXJ62" s="10"/>
      <c r="OXK62" s="10"/>
      <c r="OXL62" s="10"/>
      <c r="OXM62" s="10"/>
      <c r="OXN62" s="10"/>
      <c r="OXO62" s="10"/>
      <c r="OXP62" s="10"/>
      <c r="OXQ62" s="10"/>
      <c r="OXR62" s="10"/>
      <c r="OXS62" s="10"/>
      <c r="OXT62" s="10"/>
      <c r="OXU62" s="10"/>
      <c r="OXV62" s="10"/>
      <c r="OXW62" s="10"/>
      <c r="OXX62" s="10"/>
      <c r="OXY62" s="10"/>
      <c r="OXZ62" s="10"/>
      <c r="OYA62" s="10"/>
      <c r="OYB62" s="10"/>
      <c r="OYC62" s="10"/>
      <c r="OYD62" s="10"/>
      <c r="OYE62" s="10"/>
      <c r="OYF62" s="10"/>
      <c r="OYG62" s="10"/>
      <c r="OYH62" s="10"/>
      <c r="OYI62" s="10"/>
      <c r="OYJ62" s="10"/>
      <c r="OYK62" s="10"/>
      <c r="OYL62" s="10"/>
      <c r="OYM62" s="10"/>
      <c r="OYN62" s="10"/>
      <c r="OYO62" s="10"/>
      <c r="OYP62" s="10"/>
      <c r="OYQ62" s="10"/>
      <c r="OYR62" s="10"/>
      <c r="OYS62" s="10"/>
      <c r="OYT62" s="10"/>
      <c r="OYU62" s="10"/>
      <c r="OYV62" s="10"/>
      <c r="OYW62" s="10"/>
      <c r="OYX62" s="10"/>
      <c r="OYY62" s="10"/>
      <c r="OYZ62" s="10"/>
      <c r="OZA62" s="10"/>
      <c r="OZB62" s="10"/>
      <c r="OZC62" s="10"/>
      <c r="OZD62" s="10"/>
      <c r="OZE62" s="10"/>
      <c r="OZF62" s="10"/>
      <c r="OZG62" s="10"/>
      <c r="OZH62" s="10"/>
      <c r="OZI62" s="10"/>
      <c r="OZJ62" s="10"/>
      <c r="OZK62" s="10"/>
      <c r="OZL62" s="10"/>
      <c r="OZM62" s="10"/>
      <c r="OZN62" s="10"/>
      <c r="OZO62" s="10"/>
      <c r="OZP62" s="10"/>
      <c r="OZQ62" s="10"/>
      <c r="OZR62" s="10"/>
      <c r="OZS62" s="10"/>
      <c r="OZT62" s="10"/>
      <c r="OZU62" s="10"/>
      <c r="OZV62" s="10"/>
      <c r="OZW62" s="10"/>
      <c r="OZX62" s="10"/>
      <c r="OZY62" s="10"/>
      <c r="OZZ62" s="10"/>
      <c r="PAA62" s="10"/>
      <c r="PAB62" s="10"/>
      <c r="PAC62" s="10"/>
      <c r="PAD62" s="10"/>
      <c r="PAE62" s="10"/>
      <c r="PAF62" s="10"/>
      <c r="PAG62" s="10"/>
      <c r="PAH62" s="10"/>
      <c r="PAI62" s="10"/>
      <c r="PAJ62" s="10"/>
      <c r="PAK62" s="10"/>
      <c r="PAL62" s="10"/>
      <c r="PAM62" s="10"/>
      <c r="PAN62" s="10"/>
      <c r="PAO62" s="10"/>
      <c r="PAP62" s="10"/>
      <c r="PAQ62" s="10"/>
      <c r="PAR62" s="10"/>
      <c r="PAS62" s="10"/>
      <c r="PAT62" s="10"/>
      <c r="PAU62" s="10"/>
      <c r="PAV62" s="10"/>
      <c r="PAW62" s="10"/>
      <c r="PAX62" s="10"/>
      <c r="PAY62" s="10"/>
      <c r="PAZ62" s="10"/>
      <c r="PBA62" s="10"/>
      <c r="PBB62" s="10"/>
      <c r="PBC62" s="10"/>
      <c r="PBD62" s="10"/>
      <c r="PBE62" s="10"/>
      <c r="PBF62" s="10"/>
      <c r="PBG62" s="10"/>
      <c r="PBH62" s="10"/>
      <c r="PBI62" s="10"/>
      <c r="PBJ62" s="10"/>
      <c r="PBK62" s="10"/>
      <c r="PBL62" s="10"/>
      <c r="PBM62" s="10"/>
      <c r="PBN62" s="10"/>
      <c r="PBO62" s="10"/>
      <c r="PBP62" s="10"/>
      <c r="PBQ62" s="10"/>
      <c r="PBR62" s="10"/>
      <c r="PBS62" s="10"/>
      <c r="PBT62" s="10"/>
      <c r="PBU62" s="10"/>
      <c r="PBV62" s="10"/>
      <c r="PBW62" s="10"/>
      <c r="PBX62" s="10"/>
      <c r="PBY62" s="10"/>
      <c r="PBZ62" s="10"/>
      <c r="PCA62" s="10"/>
      <c r="PCB62" s="10"/>
      <c r="PCC62" s="10"/>
      <c r="PCD62" s="10"/>
      <c r="PCE62" s="10"/>
      <c r="PCF62" s="10"/>
      <c r="PCG62" s="10"/>
      <c r="PCH62" s="10"/>
      <c r="PCI62" s="10"/>
      <c r="PCJ62" s="10"/>
      <c r="PCK62" s="10"/>
      <c r="PCL62" s="10"/>
      <c r="PCM62" s="10"/>
      <c r="PCN62" s="10"/>
      <c r="PCO62" s="10"/>
      <c r="PCP62" s="10"/>
      <c r="PCQ62" s="10"/>
      <c r="PCR62" s="10"/>
      <c r="PCS62" s="10"/>
      <c r="PCT62" s="10"/>
      <c r="PCU62" s="10"/>
      <c r="PCV62" s="10"/>
      <c r="PCW62" s="10"/>
      <c r="PCX62" s="10"/>
      <c r="PCY62" s="10"/>
      <c r="PCZ62" s="10"/>
      <c r="PDA62" s="10"/>
      <c r="PDB62" s="10"/>
      <c r="PDC62" s="10"/>
      <c r="PDD62" s="10"/>
      <c r="PDE62" s="10"/>
      <c r="PDF62" s="10"/>
      <c r="PDG62" s="10"/>
      <c r="PDH62" s="10"/>
      <c r="PDI62" s="10"/>
      <c r="PDJ62" s="10"/>
      <c r="PDK62" s="10"/>
      <c r="PDL62" s="10"/>
      <c r="PDM62" s="10"/>
      <c r="PDN62" s="10"/>
      <c r="PDO62" s="10"/>
      <c r="PDP62" s="10"/>
      <c r="PDQ62" s="10"/>
      <c r="PDR62" s="10"/>
      <c r="PDS62" s="10"/>
      <c r="PDT62" s="10"/>
      <c r="PDU62" s="10"/>
      <c r="PDV62" s="10"/>
      <c r="PDW62" s="10"/>
      <c r="PDX62" s="10"/>
      <c r="PDY62" s="10"/>
      <c r="PDZ62" s="10"/>
      <c r="PEA62" s="10"/>
      <c r="PEB62" s="10"/>
      <c r="PEC62" s="10"/>
      <c r="PED62" s="10"/>
      <c r="PEE62" s="10"/>
      <c r="PEF62" s="10"/>
      <c r="PEG62" s="10"/>
      <c r="PEH62" s="10"/>
      <c r="PEI62" s="10"/>
      <c r="PEJ62" s="10"/>
      <c r="PEK62" s="10"/>
      <c r="PEL62" s="10"/>
      <c r="PEM62" s="10"/>
      <c r="PEN62" s="10"/>
      <c r="PEO62" s="10"/>
      <c r="PEP62" s="10"/>
      <c r="PEQ62" s="10"/>
      <c r="PER62" s="10"/>
      <c r="PES62" s="10"/>
      <c r="PET62" s="10"/>
      <c r="PEU62" s="10"/>
      <c r="PEV62" s="10"/>
      <c r="PEW62" s="10"/>
      <c r="PEX62" s="10"/>
      <c r="PEY62" s="10"/>
      <c r="PEZ62" s="10"/>
      <c r="PFA62" s="10"/>
      <c r="PFB62" s="10"/>
      <c r="PFC62" s="10"/>
      <c r="PFD62" s="10"/>
      <c r="PFE62" s="10"/>
      <c r="PFF62" s="10"/>
      <c r="PFG62" s="10"/>
      <c r="PFH62" s="10"/>
      <c r="PFI62" s="10"/>
      <c r="PFJ62" s="10"/>
      <c r="PFK62" s="10"/>
      <c r="PFL62" s="10"/>
      <c r="PFM62" s="10"/>
      <c r="PFN62" s="10"/>
      <c r="PFO62" s="10"/>
      <c r="PFP62" s="10"/>
      <c r="PFQ62" s="10"/>
      <c r="PFR62" s="10"/>
      <c r="PFS62" s="10"/>
      <c r="PFT62" s="10"/>
      <c r="PFU62" s="10"/>
      <c r="PFV62" s="10"/>
      <c r="PFW62" s="10"/>
      <c r="PFX62" s="10"/>
      <c r="PFY62" s="10"/>
      <c r="PFZ62" s="10"/>
      <c r="PGA62" s="10"/>
      <c r="PGB62" s="10"/>
      <c r="PGC62" s="10"/>
      <c r="PGD62" s="10"/>
      <c r="PGE62" s="10"/>
      <c r="PGF62" s="10"/>
      <c r="PGG62" s="10"/>
      <c r="PGH62" s="10"/>
      <c r="PGI62" s="10"/>
      <c r="PGJ62" s="10"/>
      <c r="PGK62" s="10"/>
      <c r="PGL62" s="10"/>
      <c r="PGM62" s="10"/>
      <c r="PGN62" s="10"/>
      <c r="PGO62" s="10"/>
      <c r="PGP62" s="10"/>
      <c r="PGQ62" s="10"/>
      <c r="PGR62" s="10"/>
      <c r="PGS62" s="10"/>
      <c r="PGT62" s="10"/>
      <c r="PGU62" s="10"/>
      <c r="PGV62" s="10"/>
      <c r="PGW62" s="10"/>
      <c r="PGX62" s="10"/>
      <c r="PGY62" s="10"/>
      <c r="PGZ62" s="10"/>
      <c r="PHA62" s="10"/>
      <c r="PHB62" s="10"/>
      <c r="PHC62" s="10"/>
      <c r="PHD62" s="10"/>
      <c r="PHE62" s="10"/>
      <c r="PHF62" s="10"/>
      <c r="PHG62" s="10"/>
      <c r="PHH62" s="10"/>
      <c r="PHI62" s="10"/>
      <c r="PHJ62" s="10"/>
      <c r="PHK62" s="10"/>
      <c r="PHL62" s="10"/>
      <c r="PHM62" s="10"/>
      <c r="PHN62" s="10"/>
      <c r="PHO62" s="10"/>
      <c r="PHP62" s="10"/>
      <c r="PHQ62" s="10"/>
      <c r="PHR62" s="10"/>
      <c r="PHS62" s="10"/>
      <c r="PHT62" s="10"/>
      <c r="PHU62" s="10"/>
      <c r="PHV62" s="10"/>
      <c r="PHW62" s="10"/>
      <c r="PHX62" s="10"/>
      <c r="PHY62" s="10"/>
      <c r="PHZ62" s="10"/>
      <c r="PIA62" s="10"/>
      <c r="PIB62" s="10"/>
      <c r="PIC62" s="10"/>
      <c r="PID62" s="10"/>
      <c r="PIE62" s="10"/>
      <c r="PIF62" s="10"/>
      <c r="PIG62" s="10"/>
      <c r="PIH62" s="10"/>
      <c r="PII62" s="10"/>
      <c r="PIJ62" s="10"/>
      <c r="PIK62" s="10"/>
      <c r="PIL62" s="10"/>
      <c r="PIM62" s="10"/>
      <c r="PIN62" s="10"/>
      <c r="PIO62" s="10"/>
      <c r="PIP62" s="10"/>
      <c r="PIQ62" s="10"/>
      <c r="PIR62" s="10"/>
      <c r="PIS62" s="10"/>
      <c r="PIT62" s="10"/>
      <c r="PIU62" s="10"/>
      <c r="PIV62" s="10"/>
      <c r="PIW62" s="10"/>
      <c r="PIX62" s="10"/>
      <c r="PIY62" s="10"/>
      <c r="PIZ62" s="10"/>
      <c r="PJA62" s="10"/>
      <c r="PJB62" s="10"/>
      <c r="PJC62" s="10"/>
      <c r="PJD62" s="10"/>
      <c r="PJE62" s="10"/>
      <c r="PJF62" s="10"/>
      <c r="PJG62" s="10"/>
      <c r="PJH62" s="10"/>
      <c r="PJI62" s="10"/>
      <c r="PJJ62" s="10"/>
      <c r="PJK62" s="10"/>
      <c r="PJL62" s="10"/>
      <c r="PJM62" s="10"/>
      <c r="PJN62" s="10"/>
      <c r="PJO62" s="10"/>
      <c r="PJP62" s="10"/>
      <c r="PJQ62" s="10"/>
      <c r="PJR62" s="10"/>
      <c r="PJS62" s="10"/>
      <c r="PJT62" s="10"/>
      <c r="PJU62" s="10"/>
      <c r="PJV62" s="10"/>
      <c r="PJW62" s="10"/>
      <c r="PJX62" s="10"/>
      <c r="PJY62" s="10"/>
      <c r="PJZ62" s="10"/>
      <c r="PKA62" s="10"/>
      <c r="PKB62" s="10"/>
      <c r="PKC62" s="10"/>
      <c r="PKD62" s="10"/>
      <c r="PKE62" s="10"/>
      <c r="PKF62" s="10"/>
      <c r="PKG62" s="10"/>
      <c r="PKH62" s="10"/>
      <c r="PKI62" s="10"/>
      <c r="PKJ62" s="10"/>
      <c r="PKK62" s="10"/>
      <c r="PKL62" s="10"/>
      <c r="PKM62" s="10"/>
      <c r="PKN62" s="10"/>
      <c r="PKO62" s="10"/>
      <c r="PKP62" s="10"/>
      <c r="PKQ62" s="10"/>
      <c r="PKR62" s="10"/>
      <c r="PKS62" s="10"/>
      <c r="PKT62" s="10"/>
      <c r="PKU62" s="10"/>
      <c r="PKV62" s="10"/>
      <c r="PKW62" s="10"/>
      <c r="PKX62" s="10"/>
      <c r="PKY62" s="10"/>
      <c r="PKZ62" s="10"/>
      <c r="PLA62" s="10"/>
      <c r="PLB62" s="10"/>
      <c r="PLC62" s="10"/>
      <c r="PLD62" s="10"/>
      <c r="PLE62" s="10"/>
      <c r="PLF62" s="10"/>
      <c r="PLG62" s="10"/>
      <c r="PLH62" s="10"/>
      <c r="PLI62" s="10"/>
      <c r="PLJ62" s="10"/>
      <c r="PLK62" s="10"/>
      <c r="PLL62" s="10"/>
      <c r="PLM62" s="10"/>
      <c r="PLN62" s="10"/>
      <c r="PLO62" s="10"/>
      <c r="PLP62" s="10"/>
      <c r="PLQ62" s="10"/>
      <c r="PLR62" s="10"/>
      <c r="PLS62" s="10"/>
      <c r="PLT62" s="10"/>
      <c r="PLU62" s="10"/>
      <c r="PLV62" s="10"/>
      <c r="PLW62" s="10"/>
      <c r="PLX62" s="10"/>
      <c r="PLY62" s="10"/>
      <c r="PLZ62" s="10"/>
      <c r="PMA62" s="10"/>
      <c r="PMB62" s="10"/>
      <c r="PMC62" s="10"/>
      <c r="PMD62" s="10"/>
      <c r="PME62" s="10"/>
      <c r="PMF62" s="10"/>
      <c r="PMG62" s="10"/>
      <c r="PMH62" s="10"/>
      <c r="PMI62" s="10"/>
      <c r="PMJ62" s="10"/>
      <c r="PMK62" s="10"/>
      <c r="PML62" s="10"/>
      <c r="PMM62" s="10"/>
      <c r="PMN62" s="10"/>
      <c r="PMO62" s="10"/>
      <c r="PMP62" s="10"/>
      <c r="PMQ62" s="10"/>
      <c r="PMR62" s="10"/>
      <c r="PMS62" s="10"/>
      <c r="PMT62" s="10"/>
      <c r="PMU62" s="10"/>
      <c r="PMV62" s="10"/>
      <c r="PMW62" s="10"/>
      <c r="PMX62" s="10"/>
      <c r="PMY62" s="10"/>
      <c r="PMZ62" s="10"/>
      <c r="PNA62" s="10"/>
      <c r="PNB62" s="10"/>
      <c r="PNC62" s="10"/>
      <c r="PND62" s="10"/>
      <c r="PNE62" s="10"/>
      <c r="PNF62" s="10"/>
      <c r="PNG62" s="10"/>
      <c r="PNH62" s="10"/>
      <c r="PNI62" s="10"/>
      <c r="PNJ62" s="10"/>
      <c r="PNK62" s="10"/>
      <c r="PNL62" s="10"/>
      <c r="PNM62" s="10"/>
      <c r="PNN62" s="10"/>
      <c r="PNO62" s="10"/>
      <c r="PNP62" s="10"/>
      <c r="PNQ62" s="10"/>
      <c r="PNR62" s="10"/>
      <c r="PNS62" s="10"/>
      <c r="PNT62" s="10"/>
      <c r="PNU62" s="10"/>
      <c r="PNV62" s="10"/>
      <c r="PNW62" s="10"/>
      <c r="PNX62" s="10"/>
      <c r="PNY62" s="10"/>
      <c r="PNZ62" s="10"/>
      <c r="POA62" s="10"/>
      <c r="POB62" s="10"/>
      <c r="POC62" s="10"/>
      <c r="POD62" s="10"/>
      <c r="POE62" s="10"/>
      <c r="POF62" s="10"/>
      <c r="POG62" s="10"/>
      <c r="POH62" s="10"/>
      <c r="POI62" s="10"/>
      <c r="POJ62" s="10"/>
      <c r="POK62" s="10"/>
      <c r="POL62" s="10"/>
      <c r="POM62" s="10"/>
      <c r="PON62" s="10"/>
      <c r="POO62" s="10"/>
      <c r="POP62" s="10"/>
      <c r="POQ62" s="10"/>
      <c r="POR62" s="10"/>
      <c r="POS62" s="10"/>
      <c r="POT62" s="10"/>
      <c r="POU62" s="10"/>
      <c r="POV62" s="10"/>
      <c r="POW62" s="10"/>
      <c r="POX62" s="10"/>
      <c r="POY62" s="10"/>
      <c r="POZ62" s="10"/>
      <c r="PPA62" s="10"/>
      <c r="PPB62" s="10"/>
      <c r="PPC62" s="10"/>
      <c r="PPD62" s="10"/>
      <c r="PPE62" s="10"/>
      <c r="PPF62" s="10"/>
      <c r="PPG62" s="10"/>
      <c r="PPH62" s="10"/>
      <c r="PPI62" s="10"/>
      <c r="PPJ62" s="10"/>
      <c r="PPK62" s="10"/>
      <c r="PPL62" s="10"/>
      <c r="PPM62" s="10"/>
      <c r="PPN62" s="10"/>
      <c r="PPO62" s="10"/>
      <c r="PPP62" s="10"/>
      <c r="PPQ62" s="10"/>
      <c r="PPR62" s="10"/>
      <c r="PPS62" s="10"/>
      <c r="PPT62" s="10"/>
      <c r="PPU62" s="10"/>
      <c r="PPV62" s="10"/>
      <c r="PPW62" s="10"/>
      <c r="PPX62" s="10"/>
      <c r="PPY62" s="10"/>
      <c r="PPZ62" s="10"/>
      <c r="PQA62" s="10"/>
      <c r="PQB62" s="10"/>
      <c r="PQC62" s="10"/>
      <c r="PQD62" s="10"/>
      <c r="PQE62" s="10"/>
      <c r="PQF62" s="10"/>
      <c r="PQG62" s="10"/>
      <c r="PQH62" s="10"/>
      <c r="PQI62" s="10"/>
      <c r="PQJ62" s="10"/>
      <c r="PQK62" s="10"/>
      <c r="PQL62" s="10"/>
      <c r="PQM62" s="10"/>
      <c r="PQN62" s="10"/>
      <c r="PQO62" s="10"/>
      <c r="PQP62" s="10"/>
      <c r="PQQ62" s="10"/>
      <c r="PQR62" s="10"/>
      <c r="PQS62" s="10"/>
      <c r="PQT62" s="10"/>
      <c r="PQU62" s="10"/>
      <c r="PQV62" s="10"/>
      <c r="PQW62" s="10"/>
      <c r="PQX62" s="10"/>
      <c r="PQY62" s="10"/>
      <c r="PQZ62" s="10"/>
      <c r="PRA62" s="10"/>
      <c r="PRB62" s="10"/>
      <c r="PRC62" s="10"/>
      <c r="PRD62" s="10"/>
      <c r="PRE62" s="10"/>
      <c r="PRF62" s="10"/>
      <c r="PRG62" s="10"/>
      <c r="PRH62" s="10"/>
      <c r="PRI62" s="10"/>
      <c r="PRJ62" s="10"/>
      <c r="PRK62" s="10"/>
      <c r="PRL62" s="10"/>
      <c r="PRM62" s="10"/>
      <c r="PRN62" s="10"/>
      <c r="PRO62" s="10"/>
      <c r="PRP62" s="10"/>
      <c r="PRQ62" s="10"/>
      <c r="PRR62" s="10"/>
      <c r="PRS62" s="10"/>
      <c r="PRT62" s="10"/>
      <c r="PRU62" s="10"/>
      <c r="PRV62" s="10"/>
      <c r="PRW62" s="10"/>
      <c r="PRX62" s="10"/>
      <c r="PRY62" s="10"/>
      <c r="PRZ62" s="10"/>
      <c r="PSA62" s="10"/>
      <c r="PSB62" s="10"/>
      <c r="PSC62" s="10"/>
      <c r="PSD62" s="10"/>
      <c r="PSE62" s="10"/>
      <c r="PSF62" s="10"/>
      <c r="PSG62" s="10"/>
      <c r="PSH62" s="10"/>
      <c r="PSI62" s="10"/>
      <c r="PSJ62" s="10"/>
      <c r="PSK62" s="10"/>
      <c r="PSL62" s="10"/>
      <c r="PSM62" s="10"/>
      <c r="PSN62" s="10"/>
      <c r="PSO62" s="10"/>
      <c r="PSP62" s="10"/>
      <c r="PSQ62" s="10"/>
      <c r="PSR62" s="10"/>
      <c r="PSS62" s="10"/>
      <c r="PST62" s="10"/>
      <c r="PSU62" s="10"/>
      <c r="PSV62" s="10"/>
      <c r="PSW62" s="10"/>
      <c r="PSX62" s="10"/>
      <c r="PSY62" s="10"/>
      <c r="PSZ62" s="10"/>
      <c r="PTA62" s="10"/>
      <c r="PTB62" s="10"/>
      <c r="PTC62" s="10"/>
      <c r="PTD62" s="10"/>
      <c r="PTE62" s="10"/>
      <c r="PTF62" s="10"/>
      <c r="PTG62" s="10"/>
      <c r="PTH62" s="10"/>
      <c r="PTI62" s="10"/>
      <c r="PTJ62" s="10"/>
      <c r="PTK62" s="10"/>
      <c r="PTL62" s="10"/>
      <c r="PTM62" s="10"/>
      <c r="PTN62" s="10"/>
      <c r="PTO62" s="10"/>
      <c r="PTP62" s="10"/>
      <c r="PTQ62" s="10"/>
      <c r="PTR62" s="10"/>
      <c r="PTS62" s="10"/>
      <c r="PTT62" s="10"/>
      <c r="PTU62" s="10"/>
      <c r="PTV62" s="10"/>
      <c r="PTW62" s="10"/>
      <c r="PTX62" s="10"/>
      <c r="PTY62" s="10"/>
      <c r="PTZ62" s="10"/>
      <c r="PUA62" s="10"/>
      <c r="PUB62" s="10"/>
      <c r="PUC62" s="10"/>
      <c r="PUD62" s="10"/>
      <c r="PUE62" s="10"/>
      <c r="PUF62" s="10"/>
      <c r="PUG62" s="10"/>
      <c r="PUH62" s="10"/>
      <c r="PUI62" s="10"/>
      <c r="PUJ62" s="10"/>
      <c r="PUK62" s="10"/>
      <c r="PUL62" s="10"/>
      <c r="PUM62" s="10"/>
      <c r="PUN62" s="10"/>
      <c r="PUO62" s="10"/>
      <c r="PUP62" s="10"/>
      <c r="PUQ62" s="10"/>
      <c r="PUR62" s="10"/>
      <c r="PUS62" s="10"/>
      <c r="PUT62" s="10"/>
      <c r="PUU62" s="10"/>
      <c r="PUV62" s="10"/>
      <c r="PUW62" s="10"/>
      <c r="PUX62" s="10"/>
      <c r="PUY62" s="10"/>
      <c r="PUZ62" s="10"/>
      <c r="PVA62" s="10"/>
      <c r="PVB62" s="10"/>
      <c r="PVC62" s="10"/>
      <c r="PVD62" s="10"/>
      <c r="PVE62" s="10"/>
      <c r="PVF62" s="10"/>
      <c r="PVG62" s="10"/>
      <c r="PVH62" s="10"/>
      <c r="PVI62" s="10"/>
      <c r="PVJ62" s="10"/>
      <c r="PVK62" s="10"/>
      <c r="PVL62" s="10"/>
      <c r="PVM62" s="10"/>
      <c r="PVN62" s="10"/>
      <c r="PVO62" s="10"/>
      <c r="PVP62" s="10"/>
      <c r="PVQ62" s="10"/>
      <c r="PVR62" s="10"/>
      <c r="PVS62" s="10"/>
      <c r="PVT62" s="10"/>
      <c r="PVU62" s="10"/>
      <c r="PVV62" s="10"/>
      <c r="PVW62" s="10"/>
      <c r="PVX62" s="10"/>
      <c r="PVY62" s="10"/>
      <c r="PVZ62" s="10"/>
      <c r="PWA62" s="10"/>
      <c r="PWB62" s="10"/>
      <c r="PWC62" s="10"/>
      <c r="PWD62" s="10"/>
      <c r="PWE62" s="10"/>
      <c r="PWF62" s="10"/>
      <c r="PWG62" s="10"/>
      <c r="PWH62" s="10"/>
      <c r="PWI62" s="10"/>
      <c r="PWJ62" s="10"/>
      <c r="PWK62" s="10"/>
      <c r="PWL62" s="10"/>
      <c r="PWM62" s="10"/>
      <c r="PWN62" s="10"/>
      <c r="PWO62" s="10"/>
      <c r="PWP62" s="10"/>
      <c r="PWQ62" s="10"/>
      <c r="PWR62" s="10"/>
      <c r="PWS62" s="10"/>
      <c r="PWT62" s="10"/>
      <c r="PWU62" s="10"/>
      <c r="PWV62" s="10"/>
      <c r="PWW62" s="10"/>
      <c r="PWX62" s="10"/>
      <c r="PWY62" s="10"/>
      <c r="PWZ62" s="10"/>
      <c r="PXA62" s="10"/>
      <c r="PXB62" s="10"/>
      <c r="PXC62" s="10"/>
      <c r="PXD62" s="10"/>
      <c r="PXE62" s="10"/>
      <c r="PXF62" s="10"/>
      <c r="PXG62" s="10"/>
      <c r="PXH62" s="10"/>
      <c r="PXI62" s="10"/>
      <c r="PXJ62" s="10"/>
      <c r="PXK62" s="10"/>
      <c r="PXL62" s="10"/>
      <c r="PXM62" s="10"/>
      <c r="PXN62" s="10"/>
      <c r="PXO62" s="10"/>
      <c r="PXP62" s="10"/>
      <c r="PXQ62" s="10"/>
      <c r="PXR62" s="10"/>
      <c r="PXS62" s="10"/>
      <c r="PXT62" s="10"/>
      <c r="PXU62" s="10"/>
      <c r="PXV62" s="10"/>
      <c r="PXW62" s="10"/>
      <c r="PXX62" s="10"/>
      <c r="PXY62" s="10"/>
      <c r="PXZ62" s="10"/>
      <c r="PYA62" s="10"/>
      <c r="PYB62" s="10"/>
      <c r="PYC62" s="10"/>
      <c r="PYD62" s="10"/>
      <c r="PYE62" s="10"/>
      <c r="PYF62" s="10"/>
      <c r="PYG62" s="10"/>
      <c r="PYH62" s="10"/>
      <c r="PYI62" s="10"/>
      <c r="PYJ62" s="10"/>
      <c r="PYK62" s="10"/>
      <c r="PYL62" s="10"/>
      <c r="PYM62" s="10"/>
      <c r="PYN62" s="10"/>
      <c r="PYO62" s="10"/>
      <c r="PYP62" s="10"/>
      <c r="PYQ62" s="10"/>
      <c r="PYR62" s="10"/>
      <c r="PYS62" s="10"/>
      <c r="PYT62" s="10"/>
      <c r="PYU62" s="10"/>
      <c r="PYV62" s="10"/>
      <c r="PYW62" s="10"/>
      <c r="PYX62" s="10"/>
      <c r="PYY62" s="10"/>
      <c r="PYZ62" s="10"/>
      <c r="PZA62" s="10"/>
      <c r="PZB62" s="10"/>
      <c r="PZC62" s="10"/>
      <c r="PZD62" s="10"/>
      <c r="PZE62" s="10"/>
      <c r="PZF62" s="10"/>
      <c r="PZG62" s="10"/>
      <c r="PZH62" s="10"/>
      <c r="PZI62" s="10"/>
      <c r="PZJ62" s="10"/>
      <c r="PZK62" s="10"/>
      <c r="PZL62" s="10"/>
      <c r="PZM62" s="10"/>
      <c r="PZN62" s="10"/>
      <c r="PZO62" s="10"/>
      <c r="PZP62" s="10"/>
      <c r="PZQ62" s="10"/>
      <c r="PZR62" s="10"/>
      <c r="PZS62" s="10"/>
      <c r="PZT62" s="10"/>
      <c r="PZU62" s="10"/>
      <c r="PZV62" s="10"/>
      <c r="PZW62" s="10"/>
      <c r="PZX62" s="10"/>
      <c r="PZY62" s="10"/>
      <c r="PZZ62" s="10"/>
      <c r="QAA62" s="10"/>
      <c r="QAB62" s="10"/>
      <c r="QAC62" s="10"/>
      <c r="QAD62" s="10"/>
      <c r="QAE62" s="10"/>
      <c r="QAF62" s="10"/>
      <c r="QAG62" s="10"/>
      <c r="QAH62" s="10"/>
      <c r="QAI62" s="10"/>
      <c r="QAJ62" s="10"/>
      <c r="QAK62" s="10"/>
      <c r="QAL62" s="10"/>
      <c r="QAM62" s="10"/>
      <c r="QAN62" s="10"/>
      <c r="QAO62" s="10"/>
      <c r="QAP62" s="10"/>
      <c r="QAQ62" s="10"/>
      <c r="QAR62" s="10"/>
      <c r="QAS62" s="10"/>
      <c r="QAT62" s="10"/>
      <c r="QAU62" s="10"/>
      <c r="QAV62" s="10"/>
      <c r="QAW62" s="10"/>
      <c r="QAX62" s="10"/>
      <c r="QAY62" s="10"/>
      <c r="QAZ62" s="10"/>
      <c r="QBA62" s="10"/>
      <c r="QBB62" s="10"/>
      <c r="QBC62" s="10"/>
      <c r="QBD62" s="10"/>
      <c r="QBE62" s="10"/>
      <c r="QBF62" s="10"/>
      <c r="QBG62" s="10"/>
      <c r="QBH62" s="10"/>
      <c r="QBI62" s="10"/>
      <c r="QBJ62" s="10"/>
      <c r="QBK62" s="10"/>
      <c r="QBL62" s="10"/>
      <c r="QBM62" s="10"/>
      <c r="QBN62" s="10"/>
      <c r="QBO62" s="10"/>
      <c r="QBP62" s="10"/>
      <c r="QBQ62" s="10"/>
      <c r="QBR62" s="10"/>
      <c r="QBS62" s="10"/>
      <c r="QBT62" s="10"/>
      <c r="QBU62" s="10"/>
      <c r="QBV62" s="10"/>
      <c r="QBW62" s="10"/>
      <c r="QBX62" s="10"/>
      <c r="QBY62" s="10"/>
      <c r="QBZ62" s="10"/>
      <c r="QCA62" s="10"/>
      <c r="QCB62" s="10"/>
      <c r="QCC62" s="10"/>
      <c r="QCD62" s="10"/>
      <c r="QCE62" s="10"/>
      <c r="QCF62" s="10"/>
      <c r="QCG62" s="10"/>
      <c r="QCH62" s="10"/>
      <c r="QCI62" s="10"/>
      <c r="QCJ62" s="10"/>
      <c r="QCK62" s="10"/>
      <c r="QCL62" s="10"/>
      <c r="QCM62" s="10"/>
      <c r="QCN62" s="10"/>
      <c r="QCO62" s="10"/>
      <c r="QCP62" s="10"/>
      <c r="QCQ62" s="10"/>
      <c r="QCR62" s="10"/>
      <c r="QCS62" s="10"/>
      <c r="QCT62" s="10"/>
      <c r="QCU62" s="10"/>
      <c r="QCV62" s="10"/>
      <c r="QCW62" s="10"/>
      <c r="QCX62" s="10"/>
      <c r="QCY62" s="10"/>
      <c r="QCZ62" s="10"/>
      <c r="QDA62" s="10"/>
      <c r="QDB62" s="10"/>
      <c r="QDC62" s="10"/>
      <c r="QDD62" s="10"/>
      <c r="QDE62" s="10"/>
      <c r="QDF62" s="10"/>
      <c r="QDG62" s="10"/>
      <c r="QDH62" s="10"/>
      <c r="QDI62" s="10"/>
      <c r="QDJ62" s="10"/>
      <c r="QDK62" s="10"/>
      <c r="QDL62" s="10"/>
      <c r="QDM62" s="10"/>
      <c r="QDN62" s="10"/>
      <c r="QDO62" s="10"/>
      <c r="QDP62" s="10"/>
      <c r="QDQ62" s="10"/>
      <c r="QDR62" s="10"/>
      <c r="QDS62" s="10"/>
      <c r="QDT62" s="10"/>
      <c r="QDU62" s="10"/>
      <c r="QDV62" s="10"/>
      <c r="QDW62" s="10"/>
      <c r="QDX62" s="10"/>
      <c r="QDY62" s="10"/>
      <c r="QDZ62" s="10"/>
      <c r="QEA62" s="10"/>
      <c r="QEB62" s="10"/>
      <c r="QEC62" s="10"/>
      <c r="QED62" s="10"/>
      <c r="QEE62" s="10"/>
      <c r="QEF62" s="10"/>
      <c r="QEG62" s="10"/>
      <c r="QEH62" s="10"/>
      <c r="QEI62" s="10"/>
      <c r="QEJ62" s="10"/>
      <c r="QEK62" s="10"/>
      <c r="QEL62" s="10"/>
      <c r="QEM62" s="10"/>
      <c r="QEN62" s="10"/>
      <c r="QEO62" s="10"/>
      <c r="QEP62" s="10"/>
      <c r="QEQ62" s="10"/>
      <c r="QER62" s="10"/>
      <c r="QES62" s="10"/>
      <c r="QET62" s="10"/>
      <c r="QEU62" s="10"/>
      <c r="QEV62" s="10"/>
      <c r="QEW62" s="10"/>
      <c r="QEX62" s="10"/>
      <c r="QEY62" s="10"/>
      <c r="QEZ62" s="10"/>
      <c r="QFA62" s="10"/>
      <c r="QFB62" s="10"/>
      <c r="QFC62" s="10"/>
      <c r="QFD62" s="10"/>
      <c r="QFE62" s="10"/>
      <c r="QFF62" s="10"/>
      <c r="QFG62" s="10"/>
      <c r="QFH62" s="10"/>
      <c r="QFI62" s="10"/>
      <c r="QFJ62" s="10"/>
      <c r="QFK62" s="10"/>
      <c r="QFL62" s="10"/>
      <c r="QFM62" s="10"/>
      <c r="QFN62" s="10"/>
      <c r="QFO62" s="10"/>
      <c r="QFP62" s="10"/>
      <c r="QFQ62" s="10"/>
      <c r="QFR62" s="10"/>
      <c r="QFS62" s="10"/>
      <c r="QFT62" s="10"/>
      <c r="QFU62" s="10"/>
      <c r="QFV62" s="10"/>
      <c r="QFW62" s="10"/>
      <c r="QFX62" s="10"/>
      <c r="QFY62" s="10"/>
      <c r="QFZ62" s="10"/>
      <c r="QGA62" s="10"/>
      <c r="QGB62" s="10"/>
      <c r="QGC62" s="10"/>
      <c r="QGD62" s="10"/>
      <c r="QGE62" s="10"/>
      <c r="QGF62" s="10"/>
      <c r="QGG62" s="10"/>
      <c r="QGH62" s="10"/>
      <c r="QGI62" s="10"/>
      <c r="QGJ62" s="10"/>
      <c r="QGK62" s="10"/>
      <c r="QGL62" s="10"/>
      <c r="QGM62" s="10"/>
      <c r="QGN62" s="10"/>
      <c r="QGO62" s="10"/>
      <c r="QGP62" s="10"/>
      <c r="QGQ62" s="10"/>
      <c r="QGR62" s="10"/>
      <c r="QGS62" s="10"/>
      <c r="QGT62" s="10"/>
      <c r="QGU62" s="10"/>
      <c r="QGV62" s="10"/>
      <c r="QGW62" s="10"/>
      <c r="QGX62" s="10"/>
      <c r="QGY62" s="10"/>
      <c r="QGZ62" s="10"/>
      <c r="QHA62" s="10"/>
      <c r="QHB62" s="10"/>
      <c r="QHC62" s="10"/>
      <c r="QHD62" s="10"/>
      <c r="QHE62" s="10"/>
      <c r="QHF62" s="10"/>
      <c r="QHG62" s="10"/>
      <c r="QHH62" s="10"/>
      <c r="QHI62" s="10"/>
      <c r="QHJ62" s="10"/>
      <c r="QHK62" s="10"/>
      <c r="QHL62" s="10"/>
      <c r="QHM62" s="10"/>
      <c r="QHN62" s="10"/>
      <c r="QHO62" s="10"/>
      <c r="QHP62" s="10"/>
      <c r="QHQ62" s="10"/>
      <c r="QHR62" s="10"/>
      <c r="QHS62" s="10"/>
      <c r="QHT62" s="10"/>
      <c r="QHU62" s="10"/>
      <c r="QHV62" s="10"/>
      <c r="QHW62" s="10"/>
      <c r="QHX62" s="10"/>
      <c r="QHY62" s="10"/>
      <c r="QHZ62" s="10"/>
      <c r="QIA62" s="10"/>
      <c r="QIB62" s="10"/>
      <c r="QIC62" s="10"/>
      <c r="QID62" s="10"/>
      <c r="QIE62" s="10"/>
      <c r="QIF62" s="10"/>
      <c r="QIG62" s="10"/>
      <c r="QIH62" s="10"/>
      <c r="QII62" s="10"/>
      <c r="QIJ62" s="10"/>
      <c r="QIK62" s="10"/>
      <c r="QIL62" s="10"/>
      <c r="QIM62" s="10"/>
      <c r="QIN62" s="10"/>
      <c r="QIO62" s="10"/>
      <c r="QIP62" s="10"/>
      <c r="QIQ62" s="10"/>
      <c r="QIR62" s="10"/>
      <c r="QIS62" s="10"/>
      <c r="QIT62" s="10"/>
      <c r="QIU62" s="10"/>
      <c r="QIV62" s="10"/>
      <c r="QIW62" s="10"/>
      <c r="QIX62" s="10"/>
      <c r="QIY62" s="10"/>
      <c r="QIZ62" s="10"/>
      <c r="QJA62" s="10"/>
      <c r="QJB62" s="10"/>
      <c r="QJC62" s="10"/>
      <c r="QJD62" s="10"/>
      <c r="QJE62" s="10"/>
      <c r="QJF62" s="10"/>
      <c r="QJG62" s="10"/>
      <c r="QJH62" s="10"/>
      <c r="QJI62" s="10"/>
      <c r="QJJ62" s="10"/>
      <c r="QJK62" s="10"/>
      <c r="QJL62" s="10"/>
      <c r="QJM62" s="10"/>
      <c r="QJN62" s="10"/>
      <c r="QJO62" s="10"/>
      <c r="QJP62" s="10"/>
      <c r="QJQ62" s="10"/>
      <c r="QJR62" s="10"/>
      <c r="QJS62" s="10"/>
      <c r="QJT62" s="10"/>
      <c r="QJU62" s="10"/>
      <c r="QJV62" s="10"/>
      <c r="QJW62" s="10"/>
      <c r="QJX62" s="10"/>
      <c r="QJY62" s="10"/>
      <c r="QJZ62" s="10"/>
      <c r="QKA62" s="10"/>
      <c r="QKB62" s="10"/>
      <c r="QKC62" s="10"/>
      <c r="QKD62" s="10"/>
      <c r="QKE62" s="10"/>
      <c r="QKF62" s="10"/>
      <c r="QKG62" s="10"/>
      <c r="QKH62" s="10"/>
      <c r="QKI62" s="10"/>
      <c r="QKJ62" s="10"/>
      <c r="QKK62" s="10"/>
      <c r="QKL62" s="10"/>
      <c r="QKM62" s="10"/>
      <c r="QKN62" s="10"/>
      <c r="QKO62" s="10"/>
      <c r="QKP62" s="10"/>
      <c r="QKQ62" s="10"/>
      <c r="QKR62" s="10"/>
      <c r="QKS62" s="10"/>
      <c r="QKT62" s="10"/>
      <c r="QKU62" s="10"/>
      <c r="QKV62" s="10"/>
      <c r="QKW62" s="10"/>
      <c r="QKX62" s="10"/>
      <c r="QKY62" s="10"/>
      <c r="QKZ62" s="10"/>
      <c r="QLA62" s="10"/>
      <c r="QLB62" s="10"/>
      <c r="QLC62" s="10"/>
      <c r="QLD62" s="10"/>
      <c r="QLE62" s="10"/>
      <c r="QLF62" s="10"/>
      <c r="QLG62" s="10"/>
      <c r="QLH62" s="10"/>
      <c r="QLI62" s="10"/>
      <c r="QLJ62" s="10"/>
      <c r="QLK62" s="10"/>
      <c r="QLL62" s="10"/>
      <c r="QLM62" s="10"/>
      <c r="QLN62" s="10"/>
      <c r="QLO62" s="10"/>
      <c r="QLP62" s="10"/>
      <c r="QLQ62" s="10"/>
      <c r="QLR62" s="10"/>
      <c r="QLS62" s="10"/>
      <c r="QLT62" s="10"/>
      <c r="QLU62" s="10"/>
      <c r="QLV62" s="10"/>
      <c r="QLW62" s="10"/>
      <c r="QLX62" s="10"/>
      <c r="QLY62" s="10"/>
      <c r="QLZ62" s="10"/>
      <c r="QMA62" s="10"/>
      <c r="QMB62" s="10"/>
      <c r="QMC62" s="10"/>
      <c r="QMD62" s="10"/>
      <c r="QME62" s="10"/>
      <c r="QMF62" s="10"/>
      <c r="QMG62" s="10"/>
      <c r="QMH62" s="10"/>
      <c r="QMI62" s="10"/>
      <c r="QMJ62" s="10"/>
      <c r="QMK62" s="10"/>
      <c r="QML62" s="10"/>
      <c r="QMM62" s="10"/>
      <c r="QMN62" s="10"/>
      <c r="QMO62" s="10"/>
      <c r="QMP62" s="10"/>
      <c r="QMQ62" s="10"/>
      <c r="QMR62" s="10"/>
      <c r="QMS62" s="10"/>
      <c r="QMT62" s="10"/>
      <c r="QMU62" s="10"/>
      <c r="QMV62" s="10"/>
      <c r="QMW62" s="10"/>
      <c r="QMX62" s="10"/>
      <c r="QMY62" s="10"/>
      <c r="QMZ62" s="10"/>
      <c r="QNA62" s="10"/>
      <c r="QNB62" s="10"/>
      <c r="QNC62" s="10"/>
      <c r="QND62" s="10"/>
      <c r="QNE62" s="10"/>
      <c r="QNF62" s="10"/>
      <c r="QNG62" s="10"/>
      <c r="QNH62" s="10"/>
      <c r="QNI62" s="10"/>
      <c r="QNJ62" s="10"/>
      <c r="QNK62" s="10"/>
      <c r="QNL62" s="10"/>
      <c r="QNM62" s="10"/>
      <c r="QNN62" s="10"/>
      <c r="QNO62" s="10"/>
      <c r="QNP62" s="10"/>
      <c r="QNQ62" s="10"/>
      <c r="QNR62" s="10"/>
      <c r="QNS62" s="10"/>
      <c r="QNT62" s="10"/>
      <c r="QNU62" s="10"/>
      <c r="QNV62" s="10"/>
      <c r="QNW62" s="10"/>
      <c r="QNX62" s="10"/>
      <c r="QNY62" s="10"/>
      <c r="QNZ62" s="10"/>
      <c r="QOA62" s="10"/>
      <c r="QOB62" s="10"/>
      <c r="QOC62" s="10"/>
      <c r="QOD62" s="10"/>
      <c r="QOE62" s="10"/>
      <c r="QOF62" s="10"/>
      <c r="QOG62" s="10"/>
      <c r="QOH62" s="10"/>
      <c r="QOI62" s="10"/>
      <c r="QOJ62" s="10"/>
      <c r="QOK62" s="10"/>
      <c r="QOL62" s="10"/>
      <c r="QOM62" s="10"/>
      <c r="QON62" s="10"/>
      <c r="QOO62" s="10"/>
      <c r="QOP62" s="10"/>
      <c r="QOQ62" s="10"/>
      <c r="QOR62" s="10"/>
      <c r="QOS62" s="10"/>
      <c r="QOT62" s="10"/>
      <c r="QOU62" s="10"/>
      <c r="QOV62" s="10"/>
      <c r="QOW62" s="10"/>
      <c r="QOX62" s="10"/>
      <c r="QOY62" s="10"/>
      <c r="QOZ62" s="10"/>
      <c r="QPA62" s="10"/>
      <c r="QPB62" s="10"/>
      <c r="QPC62" s="10"/>
      <c r="QPD62" s="10"/>
      <c r="QPE62" s="10"/>
      <c r="QPF62" s="10"/>
      <c r="QPG62" s="10"/>
      <c r="QPH62" s="10"/>
      <c r="QPI62" s="10"/>
      <c r="QPJ62" s="10"/>
      <c r="QPK62" s="10"/>
      <c r="QPL62" s="10"/>
      <c r="QPM62" s="10"/>
      <c r="QPN62" s="10"/>
      <c r="QPO62" s="10"/>
      <c r="QPP62" s="10"/>
      <c r="QPQ62" s="10"/>
      <c r="QPR62" s="10"/>
      <c r="QPS62" s="10"/>
      <c r="QPT62" s="10"/>
      <c r="QPU62" s="10"/>
      <c r="QPV62" s="10"/>
      <c r="QPW62" s="10"/>
      <c r="QPX62" s="10"/>
      <c r="QPY62" s="10"/>
      <c r="QPZ62" s="10"/>
      <c r="QQA62" s="10"/>
      <c r="QQB62" s="10"/>
      <c r="QQC62" s="10"/>
      <c r="QQD62" s="10"/>
      <c r="QQE62" s="10"/>
      <c r="QQF62" s="10"/>
      <c r="QQG62" s="10"/>
      <c r="QQH62" s="10"/>
      <c r="QQI62" s="10"/>
      <c r="QQJ62" s="10"/>
      <c r="QQK62" s="10"/>
      <c r="QQL62" s="10"/>
      <c r="QQM62" s="10"/>
      <c r="QQN62" s="10"/>
      <c r="QQO62" s="10"/>
      <c r="QQP62" s="10"/>
      <c r="QQQ62" s="10"/>
      <c r="QQR62" s="10"/>
      <c r="QQS62" s="10"/>
      <c r="QQT62" s="10"/>
      <c r="QQU62" s="10"/>
      <c r="QQV62" s="10"/>
      <c r="QQW62" s="10"/>
      <c r="QQX62" s="10"/>
      <c r="QQY62" s="10"/>
      <c r="QQZ62" s="10"/>
      <c r="QRA62" s="10"/>
      <c r="QRB62" s="10"/>
      <c r="QRC62" s="10"/>
      <c r="QRD62" s="10"/>
      <c r="QRE62" s="10"/>
      <c r="QRF62" s="10"/>
      <c r="QRG62" s="10"/>
      <c r="QRH62" s="10"/>
      <c r="QRI62" s="10"/>
      <c r="QRJ62" s="10"/>
      <c r="QRK62" s="10"/>
      <c r="QRL62" s="10"/>
      <c r="QRM62" s="10"/>
      <c r="QRN62" s="10"/>
      <c r="QRO62" s="10"/>
      <c r="QRP62" s="10"/>
      <c r="QRQ62" s="10"/>
      <c r="QRR62" s="10"/>
      <c r="QRS62" s="10"/>
      <c r="QRT62" s="10"/>
      <c r="QRU62" s="10"/>
      <c r="QRV62" s="10"/>
      <c r="QRW62" s="10"/>
      <c r="QRX62" s="10"/>
      <c r="QRY62" s="10"/>
      <c r="QRZ62" s="10"/>
      <c r="QSA62" s="10"/>
      <c r="QSB62" s="10"/>
      <c r="QSC62" s="10"/>
      <c r="QSD62" s="10"/>
      <c r="QSE62" s="10"/>
      <c r="QSF62" s="10"/>
      <c r="QSG62" s="10"/>
      <c r="QSH62" s="10"/>
      <c r="QSI62" s="10"/>
      <c r="QSJ62" s="10"/>
      <c r="QSK62" s="10"/>
      <c r="QSL62" s="10"/>
      <c r="QSM62" s="10"/>
      <c r="QSN62" s="10"/>
      <c r="QSO62" s="10"/>
      <c r="QSP62" s="10"/>
      <c r="QSQ62" s="10"/>
      <c r="QSR62" s="10"/>
      <c r="QSS62" s="10"/>
      <c r="QST62" s="10"/>
      <c r="QSU62" s="10"/>
      <c r="QSV62" s="10"/>
      <c r="QSW62" s="10"/>
      <c r="QSX62" s="10"/>
      <c r="QSY62" s="10"/>
      <c r="QSZ62" s="10"/>
      <c r="QTA62" s="10"/>
      <c r="QTB62" s="10"/>
      <c r="QTC62" s="10"/>
      <c r="QTD62" s="10"/>
      <c r="QTE62" s="10"/>
      <c r="QTF62" s="10"/>
      <c r="QTG62" s="10"/>
      <c r="QTH62" s="10"/>
      <c r="QTI62" s="10"/>
      <c r="QTJ62" s="10"/>
      <c r="QTK62" s="10"/>
      <c r="QTL62" s="10"/>
      <c r="QTM62" s="10"/>
      <c r="QTN62" s="10"/>
      <c r="QTO62" s="10"/>
      <c r="QTP62" s="10"/>
      <c r="QTQ62" s="10"/>
      <c r="QTR62" s="10"/>
      <c r="QTS62" s="10"/>
      <c r="QTT62" s="10"/>
      <c r="QTU62" s="10"/>
      <c r="QTV62" s="10"/>
      <c r="QTW62" s="10"/>
      <c r="QTX62" s="10"/>
      <c r="QTY62" s="10"/>
      <c r="QTZ62" s="10"/>
      <c r="QUA62" s="10"/>
      <c r="QUB62" s="10"/>
      <c r="QUC62" s="10"/>
      <c r="QUD62" s="10"/>
      <c r="QUE62" s="10"/>
      <c r="QUF62" s="10"/>
      <c r="QUG62" s="10"/>
      <c r="QUH62" s="10"/>
      <c r="QUI62" s="10"/>
      <c r="QUJ62" s="10"/>
      <c r="QUK62" s="10"/>
      <c r="QUL62" s="10"/>
      <c r="QUM62" s="10"/>
      <c r="QUN62" s="10"/>
      <c r="QUO62" s="10"/>
      <c r="QUP62" s="10"/>
      <c r="QUQ62" s="10"/>
      <c r="QUR62" s="10"/>
      <c r="QUS62" s="10"/>
      <c r="QUT62" s="10"/>
      <c r="QUU62" s="10"/>
      <c r="QUV62" s="10"/>
      <c r="QUW62" s="10"/>
      <c r="QUX62" s="10"/>
      <c r="QUY62" s="10"/>
      <c r="QUZ62" s="10"/>
      <c r="QVA62" s="10"/>
      <c r="QVB62" s="10"/>
      <c r="QVC62" s="10"/>
      <c r="QVD62" s="10"/>
      <c r="QVE62" s="10"/>
      <c r="QVF62" s="10"/>
      <c r="QVG62" s="10"/>
      <c r="QVH62" s="10"/>
      <c r="QVI62" s="10"/>
      <c r="QVJ62" s="10"/>
      <c r="QVK62" s="10"/>
      <c r="QVL62" s="10"/>
      <c r="QVM62" s="10"/>
      <c r="QVN62" s="10"/>
      <c r="QVO62" s="10"/>
      <c r="QVP62" s="10"/>
      <c r="QVQ62" s="10"/>
      <c r="QVR62" s="10"/>
      <c r="QVS62" s="10"/>
      <c r="QVT62" s="10"/>
      <c r="QVU62" s="10"/>
      <c r="QVV62" s="10"/>
      <c r="QVW62" s="10"/>
      <c r="QVX62" s="10"/>
      <c r="QVY62" s="10"/>
      <c r="QVZ62" s="10"/>
      <c r="QWA62" s="10"/>
      <c r="QWB62" s="10"/>
      <c r="QWC62" s="10"/>
      <c r="QWD62" s="10"/>
      <c r="QWE62" s="10"/>
      <c r="QWF62" s="10"/>
      <c r="QWG62" s="10"/>
      <c r="QWH62" s="10"/>
      <c r="QWI62" s="10"/>
      <c r="QWJ62" s="10"/>
      <c r="QWK62" s="10"/>
      <c r="QWL62" s="10"/>
      <c r="QWM62" s="10"/>
      <c r="QWN62" s="10"/>
      <c r="QWO62" s="10"/>
      <c r="QWP62" s="10"/>
      <c r="QWQ62" s="10"/>
      <c r="QWR62" s="10"/>
      <c r="QWS62" s="10"/>
      <c r="QWT62" s="10"/>
      <c r="QWU62" s="10"/>
      <c r="QWV62" s="10"/>
      <c r="QWW62" s="10"/>
      <c r="QWX62" s="10"/>
      <c r="QWY62" s="10"/>
      <c r="QWZ62" s="10"/>
      <c r="QXA62" s="10"/>
      <c r="QXB62" s="10"/>
      <c r="QXC62" s="10"/>
      <c r="QXD62" s="10"/>
      <c r="QXE62" s="10"/>
      <c r="QXF62" s="10"/>
      <c r="QXG62" s="10"/>
      <c r="QXH62" s="10"/>
      <c r="QXI62" s="10"/>
      <c r="QXJ62" s="10"/>
      <c r="QXK62" s="10"/>
      <c r="QXL62" s="10"/>
      <c r="QXM62" s="10"/>
      <c r="QXN62" s="10"/>
      <c r="QXO62" s="10"/>
      <c r="QXP62" s="10"/>
      <c r="QXQ62" s="10"/>
      <c r="QXR62" s="10"/>
      <c r="QXS62" s="10"/>
      <c r="QXT62" s="10"/>
      <c r="QXU62" s="10"/>
      <c r="QXV62" s="10"/>
      <c r="QXW62" s="10"/>
      <c r="QXX62" s="10"/>
      <c r="QXY62" s="10"/>
      <c r="QXZ62" s="10"/>
      <c r="QYA62" s="10"/>
      <c r="QYB62" s="10"/>
      <c r="QYC62" s="10"/>
      <c r="QYD62" s="10"/>
      <c r="QYE62" s="10"/>
      <c r="QYF62" s="10"/>
      <c r="QYG62" s="10"/>
      <c r="QYH62" s="10"/>
      <c r="QYI62" s="10"/>
      <c r="QYJ62" s="10"/>
      <c r="QYK62" s="10"/>
      <c r="QYL62" s="10"/>
      <c r="QYM62" s="10"/>
      <c r="QYN62" s="10"/>
      <c r="QYO62" s="10"/>
      <c r="QYP62" s="10"/>
      <c r="QYQ62" s="10"/>
      <c r="QYR62" s="10"/>
      <c r="QYS62" s="10"/>
      <c r="QYT62" s="10"/>
      <c r="QYU62" s="10"/>
      <c r="QYV62" s="10"/>
      <c r="QYW62" s="10"/>
      <c r="QYX62" s="10"/>
      <c r="QYY62" s="10"/>
      <c r="QYZ62" s="10"/>
      <c r="QZA62" s="10"/>
      <c r="QZB62" s="10"/>
      <c r="QZC62" s="10"/>
      <c r="QZD62" s="10"/>
      <c r="QZE62" s="10"/>
      <c r="QZF62" s="10"/>
      <c r="QZG62" s="10"/>
      <c r="QZH62" s="10"/>
      <c r="QZI62" s="10"/>
      <c r="QZJ62" s="10"/>
      <c r="QZK62" s="10"/>
      <c r="QZL62" s="10"/>
      <c r="QZM62" s="10"/>
      <c r="QZN62" s="10"/>
      <c r="QZO62" s="10"/>
      <c r="QZP62" s="10"/>
      <c r="QZQ62" s="10"/>
      <c r="QZR62" s="10"/>
      <c r="QZS62" s="10"/>
      <c r="QZT62" s="10"/>
      <c r="QZU62" s="10"/>
      <c r="QZV62" s="10"/>
      <c r="QZW62" s="10"/>
      <c r="QZX62" s="10"/>
      <c r="QZY62" s="10"/>
      <c r="QZZ62" s="10"/>
      <c r="RAA62" s="10"/>
      <c r="RAB62" s="10"/>
      <c r="RAC62" s="10"/>
      <c r="RAD62" s="10"/>
      <c r="RAE62" s="10"/>
      <c r="RAF62" s="10"/>
      <c r="RAG62" s="10"/>
      <c r="RAH62" s="10"/>
      <c r="RAI62" s="10"/>
      <c r="RAJ62" s="10"/>
      <c r="RAK62" s="10"/>
      <c r="RAL62" s="10"/>
      <c r="RAM62" s="10"/>
      <c r="RAN62" s="10"/>
      <c r="RAO62" s="10"/>
      <c r="RAP62" s="10"/>
      <c r="RAQ62" s="10"/>
      <c r="RAR62" s="10"/>
      <c r="RAS62" s="10"/>
      <c r="RAT62" s="10"/>
      <c r="RAU62" s="10"/>
      <c r="RAV62" s="10"/>
      <c r="RAW62" s="10"/>
      <c r="RAX62" s="10"/>
      <c r="RAY62" s="10"/>
      <c r="RAZ62" s="10"/>
      <c r="RBA62" s="10"/>
      <c r="RBB62" s="10"/>
      <c r="RBC62" s="10"/>
      <c r="RBD62" s="10"/>
      <c r="RBE62" s="10"/>
      <c r="RBF62" s="10"/>
      <c r="RBG62" s="10"/>
      <c r="RBH62" s="10"/>
      <c r="RBI62" s="10"/>
      <c r="RBJ62" s="10"/>
      <c r="RBK62" s="10"/>
      <c r="RBL62" s="10"/>
      <c r="RBM62" s="10"/>
      <c r="RBN62" s="10"/>
      <c r="RBO62" s="10"/>
      <c r="RBP62" s="10"/>
      <c r="RBQ62" s="10"/>
      <c r="RBR62" s="10"/>
      <c r="RBS62" s="10"/>
      <c r="RBT62" s="10"/>
      <c r="RBU62" s="10"/>
      <c r="RBV62" s="10"/>
      <c r="RBW62" s="10"/>
      <c r="RBX62" s="10"/>
      <c r="RBY62" s="10"/>
      <c r="RBZ62" s="10"/>
      <c r="RCA62" s="10"/>
      <c r="RCB62" s="10"/>
      <c r="RCC62" s="10"/>
      <c r="RCD62" s="10"/>
      <c r="RCE62" s="10"/>
      <c r="RCF62" s="10"/>
      <c r="RCG62" s="10"/>
      <c r="RCH62" s="10"/>
      <c r="RCI62" s="10"/>
      <c r="RCJ62" s="10"/>
      <c r="RCK62" s="10"/>
      <c r="RCL62" s="10"/>
      <c r="RCM62" s="10"/>
      <c r="RCN62" s="10"/>
      <c r="RCO62" s="10"/>
      <c r="RCP62" s="10"/>
      <c r="RCQ62" s="10"/>
      <c r="RCR62" s="10"/>
      <c r="RCS62" s="10"/>
      <c r="RCT62" s="10"/>
      <c r="RCU62" s="10"/>
      <c r="RCV62" s="10"/>
      <c r="RCW62" s="10"/>
      <c r="RCX62" s="10"/>
      <c r="RCY62" s="10"/>
      <c r="RCZ62" s="10"/>
      <c r="RDA62" s="10"/>
      <c r="RDB62" s="10"/>
      <c r="RDC62" s="10"/>
      <c r="RDD62" s="10"/>
      <c r="RDE62" s="10"/>
      <c r="RDF62" s="10"/>
      <c r="RDG62" s="10"/>
      <c r="RDH62" s="10"/>
      <c r="RDI62" s="10"/>
      <c r="RDJ62" s="10"/>
      <c r="RDK62" s="10"/>
      <c r="RDL62" s="10"/>
      <c r="RDM62" s="10"/>
      <c r="RDN62" s="10"/>
      <c r="RDO62" s="10"/>
      <c r="RDP62" s="10"/>
      <c r="RDQ62" s="10"/>
      <c r="RDR62" s="10"/>
      <c r="RDS62" s="10"/>
      <c r="RDT62" s="10"/>
      <c r="RDU62" s="10"/>
      <c r="RDV62" s="10"/>
      <c r="RDW62" s="10"/>
      <c r="RDX62" s="10"/>
      <c r="RDY62" s="10"/>
      <c r="RDZ62" s="10"/>
      <c r="REA62" s="10"/>
      <c r="REB62" s="10"/>
      <c r="REC62" s="10"/>
      <c r="RED62" s="10"/>
      <c r="REE62" s="10"/>
      <c r="REF62" s="10"/>
      <c r="REG62" s="10"/>
      <c r="REH62" s="10"/>
      <c r="REI62" s="10"/>
      <c r="REJ62" s="10"/>
      <c r="REK62" s="10"/>
      <c r="REL62" s="10"/>
      <c r="REM62" s="10"/>
      <c r="REN62" s="10"/>
      <c r="REO62" s="10"/>
      <c r="REP62" s="10"/>
      <c r="REQ62" s="10"/>
      <c r="RER62" s="10"/>
      <c r="RES62" s="10"/>
      <c r="RET62" s="10"/>
      <c r="REU62" s="10"/>
      <c r="REV62" s="10"/>
      <c r="REW62" s="10"/>
      <c r="REX62" s="10"/>
      <c r="REY62" s="10"/>
      <c r="REZ62" s="10"/>
      <c r="RFA62" s="10"/>
      <c r="RFB62" s="10"/>
      <c r="RFC62" s="10"/>
      <c r="RFD62" s="10"/>
      <c r="RFE62" s="10"/>
      <c r="RFF62" s="10"/>
      <c r="RFG62" s="10"/>
      <c r="RFH62" s="10"/>
      <c r="RFI62" s="10"/>
      <c r="RFJ62" s="10"/>
      <c r="RFK62" s="10"/>
      <c r="RFL62" s="10"/>
      <c r="RFM62" s="10"/>
      <c r="RFN62" s="10"/>
      <c r="RFO62" s="10"/>
      <c r="RFP62" s="10"/>
      <c r="RFQ62" s="10"/>
      <c r="RFR62" s="10"/>
      <c r="RFS62" s="10"/>
      <c r="RFT62" s="10"/>
      <c r="RFU62" s="10"/>
      <c r="RFV62" s="10"/>
      <c r="RFW62" s="10"/>
      <c r="RFX62" s="10"/>
      <c r="RFY62" s="10"/>
      <c r="RFZ62" s="10"/>
      <c r="RGA62" s="10"/>
      <c r="RGB62" s="10"/>
      <c r="RGC62" s="10"/>
      <c r="RGD62" s="10"/>
      <c r="RGE62" s="10"/>
      <c r="RGF62" s="10"/>
      <c r="RGG62" s="10"/>
      <c r="RGH62" s="10"/>
      <c r="RGI62" s="10"/>
      <c r="RGJ62" s="10"/>
      <c r="RGK62" s="10"/>
      <c r="RGL62" s="10"/>
      <c r="RGM62" s="10"/>
      <c r="RGN62" s="10"/>
      <c r="RGO62" s="10"/>
      <c r="RGP62" s="10"/>
      <c r="RGQ62" s="10"/>
      <c r="RGR62" s="10"/>
      <c r="RGS62" s="10"/>
      <c r="RGT62" s="10"/>
      <c r="RGU62" s="10"/>
      <c r="RGV62" s="10"/>
      <c r="RGW62" s="10"/>
      <c r="RGX62" s="10"/>
      <c r="RGY62" s="10"/>
      <c r="RGZ62" s="10"/>
      <c r="RHA62" s="10"/>
      <c r="RHB62" s="10"/>
      <c r="RHC62" s="10"/>
      <c r="RHD62" s="10"/>
      <c r="RHE62" s="10"/>
      <c r="RHF62" s="10"/>
      <c r="RHG62" s="10"/>
      <c r="RHH62" s="10"/>
      <c r="RHI62" s="10"/>
      <c r="RHJ62" s="10"/>
      <c r="RHK62" s="10"/>
      <c r="RHL62" s="10"/>
      <c r="RHM62" s="10"/>
      <c r="RHN62" s="10"/>
      <c r="RHO62" s="10"/>
      <c r="RHP62" s="10"/>
      <c r="RHQ62" s="10"/>
      <c r="RHR62" s="10"/>
      <c r="RHS62" s="10"/>
      <c r="RHT62" s="10"/>
      <c r="RHU62" s="10"/>
      <c r="RHV62" s="10"/>
      <c r="RHW62" s="10"/>
      <c r="RHX62" s="10"/>
      <c r="RHY62" s="10"/>
      <c r="RHZ62" s="10"/>
      <c r="RIA62" s="10"/>
      <c r="RIB62" s="10"/>
      <c r="RIC62" s="10"/>
      <c r="RID62" s="10"/>
      <c r="RIE62" s="10"/>
      <c r="RIF62" s="10"/>
      <c r="RIG62" s="10"/>
      <c r="RIH62" s="10"/>
      <c r="RII62" s="10"/>
      <c r="RIJ62" s="10"/>
      <c r="RIK62" s="10"/>
      <c r="RIL62" s="10"/>
      <c r="RIM62" s="10"/>
      <c r="RIN62" s="10"/>
      <c r="RIO62" s="10"/>
      <c r="RIP62" s="10"/>
      <c r="RIQ62" s="10"/>
      <c r="RIR62" s="10"/>
      <c r="RIS62" s="10"/>
      <c r="RIT62" s="10"/>
      <c r="RIU62" s="10"/>
      <c r="RIV62" s="10"/>
      <c r="RIW62" s="10"/>
      <c r="RIX62" s="10"/>
      <c r="RIY62" s="10"/>
      <c r="RIZ62" s="10"/>
      <c r="RJA62" s="10"/>
      <c r="RJB62" s="10"/>
      <c r="RJC62" s="10"/>
      <c r="RJD62" s="10"/>
      <c r="RJE62" s="10"/>
      <c r="RJF62" s="10"/>
      <c r="RJG62" s="10"/>
      <c r="RJH62" s="10"/>
      <c r="RJI62" s="10"/>
      <c r="RJJ62" s="10"/>
      <c r="RJK62" s="10"/>
      <c r="RJL62" s="10"/>
      <c r="RJM62" s="10"/>
      <c r="RJN62" s="10"/>
      <c r="RJO62" s="10"/>
      <c r="RJP62" s="10"/>
      <c r="RJQ62" s="10"/>
      <c r="RJR62" s="10"/>
      <c r="RJS62" s="10"/>
      <c r="RJT62" s="10"/>
      <c r="RJU62" s="10"/>
      <c r="RJV62" s="10"/>
      <c r="RJW62" s="10"/>
      <c r="RJX62" s="10"/>
      <c r="RJY62" s="10"/>
      <c r="RJZ62" s="10"/>
      <c r="RKA62" s="10"/>
      <c r="RKB62" s="10"/>
      <c r="RKC62" s="10"/>
      <c r="RKD62" s="10"/>
      <c r="RKE62" s="10"/>
      <c r="RKF62" s="10"/>
      <c r="RKG62" s="10"/>
      <c r="RKH62" s="10"/>
      <c r="RKI62" s="10"/>
      <c r="RKJ62" s="10"/>
      <c r="RKK62" s="10"/>
      <c r="RKL62" s="10"/>
      <c r="RKM62" s="10"/>
      <c r="RKN62" s="10"/>
      <c r="RKO62" s="10"/>
      <c r="RKP62" s="10"/>
      <c r="RKQ62" s="10"/>
      <c r="RKR62" s="10"/>
      <c r="RKS62" s="10"/>
      <c r="RKT62" s="10"/>
      <c r="RKU62" s="10"/>
      <c r="RKV62" s="10"/>
      <c r="RKW62" s="10"/>
      <c r="RKX62" s="10"/>
      <c r="RKY62" s="10"/>
      <c r="RKZ62" s="10"/>
      <c r="RLA62" s="10"/>
      <c r="RLB62" s="10"/>
      <c r="RLC62" s="10"/>
      <c r="RLD62" s="10"/>
      <c r="RLE62" s="10"/>
      <c r="RLF62" s="10"/>
      <c r="RLG62" s="10"/>
      <c r="RLH62" s="10"/>
      <c r="RLI62" s="10"/>
      <c r="RLJ62" s="10"/>
      <c r="RLK62" s="10"/>
      <c r="RLL62" s="10"/>
      <c r="RLM62" s="10"/>
      <c r="RLN62" s="10"/>
      <c r="RLO62" s="10"/>
      <c r="RLP62" s="10"/>
      <c r="RLQ62" s="10"/>
      <c r="RLR62" s="10"/>
      <c r="RLS62" s="10"/>
      <c r="RLT62" s="10"/>
      <c r="RLU62" s="10"/>
      <c r="RLV62" s="10"/>
      <c r="RLW62" s="10"/>
      <c r="RLX62" s="10"/>
      <c r="RLY62" s="10"/>
      <c r="RLZ62" s="10"/>
      <c r="RMA62" s="10"/>
      <c r="RMB62" s="10"/>
      <c r="RMC62" s="10"/>
      <c r="RMD62" s="10"/>
      <c r="RME62" s="10"/>
      <c r="RMF62" s="10"/>
      <c r="RMG62" s="10"/>
      <c r="RMH62" s="10"/>
      <c r="RMI62" s="10"/>
      <c r="RMJ62" s="10"/>
      <c r="RMK62" s="10"/>
      <c r="RML62" s="10"/>
      <c r="RMM62" s="10"/>
      <c r="RMN62" s="10"/>
      <c r="RMO62" s="10"/>
      <c r="RMP62" s="10"/>
      <c r="RMQ62" s="10"/>
      <c r="RMR62" s="10"/>
      <c r="RMS62" s="10"/>
      <c r="RMT62" s="10"/>
      <c r="RMU62" s="10"/>
      <c r="RMV62" s="10"/>
      <c r="RMW62" s="10"/>
      <c r="RMX62" s="10"/>
      <c r="RMY62" s="10"/>
      <c r="RMZ62" s="10"/>
      <c r="RNA62" s="10"/>
      <c r="RNB62" s="10"/>
      <c r="RNC62" s="10"/>
      <c r="RND62" s="10"/>
      <c r="RNE62" s="10"/>
      <c r="RNF62" s="10"/>
      <c r="RNG62" s="10"/>
      <c r="RNH62" s="10"/>
      <c r="RNI62" s="10"/>
      <c r="RNJ62" s="10"/>
      <c r="RNK62" s="10"/>
      <c r="RNL62" s="10"/>
      <c r="RNM62" s="10"/>
      <c r="RNN62" s="10"/>
      <c r="RNO62" s="10"/>
      <c r="RNP62" s="10"/>
      <c r="RNQ62" s="10"/>
      <c r="RNR62" s="10"/>
      <c r="RNS62" s="10"/>
      <c r="RNT62" s="10"/>
      <c r="RNU62" s="10"/>
      <c r="RNV62" s="10"/>
      <c r="RNW62" s="10"/>
      <c r="RNX62" s="10"/>
      <c r="RNY62" s="10"/>
      <c r="RNZ62" s="10"/>
      <c r="ROA62" s="10"/>
      <c r="ROB62" s="10"/>
      <c r="ROC62" s="10"/>
      <c r="ROD62" s="10"/>
      <c r="ROE62" s="10"/>
      <c r="ROF62" s="10"/>
      <c r="ROG62" s="10"/>
      <c r="ROH62" s="10"/>
      <c r="ROI62" s="10"/>
      <c r="ROJ62" s="10"/>
      <c r="ROK62" s="10"/>
      <c r="ROL62" s="10"/>
      <c r="ROM62" s="10"/>
      <c r="RON62" s="10"/>
      <c r="ROO62" s="10"/>
      <c r="ROP62" s="10"/>
      <c r="ROQ62" s="10"/>
      <c r="ROR62" s="10"/>
      <c r="ROS62" s="10"/>
      <c r="ROT62" s="10"/>
      <c r="ROU62" s="10"/>
      <c r="ROV62" s="10"/>
      <c r="ROW62" s="10"/>
      <c r="ROX62" s="10"/>
      <c r="ROY62" s="10"/>
      <c r="ROZ62" s="10"/>
      <c r="RPA62" s="10"/>
      <c r="RPB62" s="10"/>
      <c r="RPC62" s="10"/>
      <c r="RPD62" s="10"/>
      <c r="RPE62" s="10"/>
      <c r="RPF62" s="10"/>
      <c r="RPG62" s="10"/>
      <c r="RPH62" s="10"/>
      <c r="RPI62" s="10"/>
      <c r="RPJ62" s="10"/>
      <c r="RPK62" s="10"/>
      <c r="RPL62" s="10"/>
      <c r="RPM62" s="10"/>
      <c r="RPN62" s="10"/>
      <c r="RPO62" s="10"/>
      <c r="RPP62" s="10"/>
      <c r="RPQ62" s="10"/>
      <c r="RPR62" s="10"/>
      <c r="RPS62" s="10"/>
      <c r="RPT62" s="10"/>
      <c r="RPU62" s="10"/>
      <c r="RPV62" s="10"/>
      <c r="RPW62" s="10"/>
      <c r="RPX62" s="10"/>
      <c r="RPY62" s="10"/>
      <c r="RPZ62" s="10"/>
      <c r="RQA62" s="10"/>
      <c r="RQB62" s="10"/>
      <c r="RQC62" s="10"/>
      <c r="RQD62" s="10"/>
      <c r="RQE62" s="10"/>
      <c r="RQF62" s="10"/>
      <c r="RQG62" s="10"/>
      <c r="RQH62" s="10"/>
      <c r="RQI62" s="10"/>
      <c r="RQJ62" s="10"/>
      <c r="RQK62" s="10"/>
      <c r="RQL62" s="10"/>
      <c r="RQM62" s="10"/>
      <c r="RQN62" s="10"/>
      <c r="RQO62" s="10"/>
      <c r="RQP62" s="10"/>
      <c r="RQQ62" s="10"/>
      <c r="RQR62" s="10"/>
      <c r="RQS62" s="10"/>
      <c r="RQT62" s="10"/>
      <c r="RQU62" s="10"/>
      <c r="RQV62" s="10"/>
      <c r="RQW62" s="10"/>
      <c r="RQX62" s="10"/>
      <c r="RQY62" s="10"/>
      <c r="RQZ62" s="10"/>
      <c r="RRA62" s="10"/>
      <c r="RRB62" s="10"/>
      <c r="RRC62" s="10"/>
      <c r="RRD62" s="10"/>
      <c r="RRE62" s="10"/>
      <c r="RRF62" s="10"/>
      <c r="RRG62" s="10"/>
      <c r="RRH62" s="10"/>
      <c r="RRI62" s="10"/>
      <c r="RRJ62" s="10"/>
      <c r="RRK62" s="10"/>
      <c r="RRL62" s="10"/>
      <c r="RRM62" s="10"/>
      <c r="RRN62" s="10"/>
      <c r="RRO62" s="10"/>
      <c r="RRP62" s="10"/>
      <c r="RRQ62" s="10"/>
      <c r="RRR62" s="10"/>
      <c r="RRS62" s="10"/>
      <c r="RRT62" s="10"/>
      <c r="RRU62" s="10"/>
      <c r="RRV62" s="10"/>
      <c r="RRW62" s="10"/>
      <c r="RRX62" s="10"/>
      <c r="RRY62" s="10"/>
      <c r="RRZ62" s="10"/>
      <c r="RSA62" s="10"/>
      <c r="RSB62" s="10"/>
      <c r="RSC62" s="10"/>
      <c r="RSD62" s="10"/>
      <c r="RSE62" s="10"/>
      <c r="RSF62" s="10"/>
      <c r="RSG62" s="10"/>
      <c r="RSH62" s="10"/>
      <c r="RSI62" s="10"/>
      <c r="RSJ62" s="10"/>
      <c r="RSK62" s="10"/>
      <c r="RSL62" s="10"/>
      <c r="RSM62" s="10"/>
      <c r="RSN62" s="10"/>
      <c r="RSO62" s="10"/>
      <c r="RSP62" s="10"/>
      <c r="RSQ62" s="10"/>
      <c r="RSR62" s="10"/>
      <c r="RSS62" s="10"/>
      <c r="RST62" s="10"/>
      <c r="RSU62" s="10"/>
      <c r="RSV62" s="10"/>
      <c r="RSW62" s="10"/>
      <c r="RSX62" s="10"/>
      <c r="RSY62" s="10"/>
      <c r="RSZ62" s="10"/>
      <c r="RTA62" s="10"/>
      <c r="RTB62" s="10"/>
      <c r="RTC62" s="10"/>
      <c r="RTD62" s="10"/>
      <c r="RTE62" s="10"/>
      <c r="RTF62" s="10"/>
      <c r="RTG62" s="10"/>
      <c r="RTH62" s="10"/>
      <c r="RTI62" s="10"/>
      <c r="RTJ62" s="10"/>
      <c r="RTK62" s="10"/>
      <c r="RTL62" s="10"/>
      <c r="RTM62" s="10"/>
      <c r="RTN62" s="10"/>
      <c r="RTO62" s="10"/>
      <c r="RTP62" s="10"/>
      <c r="RTQ62" s="10"/>
      <c r="RTR62" s="10"/>
      <c r="RTS62" s="10"/>
      <c r="RTT62" s="10"/>
      <c r="RTU62" s="10"/>
      <c r="RTV62" s="10"/>
      <c r="RTW62" s="10"/>
      <c r="RTX62" s="10"/>
      <c r="RTY62" s="10"/>
      <c r="RTZ62" s="10"/>
      <c r="RUA62" s="10"/>
      <c r="RUB62" s="10"/>
      <c r="RUC62" s="10"/>
      <c r="RUD62" s="10"/>
      <c r="RUE62" s="10"/>
      <c r="RUF62" s="10"/>
      <c r="RUG62" s="10"/>
      <c r="RUH62" s="10"/>
      <c r="RUI62" s="10"/>
      <c r="RUJ62" s="10"/>
      <c r="RUK62" s="10"/>
      <c r="RUL62" s="10"/>
      <c r="RUM62" s="10"/>
      <c r="RUN62" s="10"/>
      <c r="RUO62" s="10"/>
      <c r="RUP62" s="10"/>
      <c r="RUQ62" s="10"/>
      <c r="RUR62" s="10"/>
      <c r="RUS62" s="10"/>
      <c r="RUT62" s="10"/>
      <c r="RUU62" s="10"/>
      <c r="RUV62" s="10"/>
      <c r="RUW62" s="10"/>
      <c r="RUX62" s="10"/>
      <c r="RUY62" s="10"/>
      <c r="RUZ62" s="10"/>
      <c r="RVA62" s="10"/>
      <c r="RVB62" s="10"/>
      <c r="RVC62" s="10"/>
      <c r="RVD62" s="10"/>
      <c r="RVE62" s="10"/>
      <c r="RVF62" s="10"/>
      <c r="RVG62" s="10"/>
      <c r="RVH62" s="10"/>
      <c r="RVI62" s="10"/>
      <c r="RVJ62" s="10"/>
      <c r="RVK62" s="10"/>
      <c r="RVL62" s="10"/>
      <c r="RVM62" s="10"/>
      <c r="RVN62" s="10"/>
      <c r="RVO62" s="10"/>
      <c r="RVP62" s="10"/>
      <c r="RVQ62" s="10"/>
      <c r="RVR62" s="10"/>
      <c r="RVS62" s="10"/>
      <c r="RVT62" s="10"/>
      <c r="RVU62" s="10"/>
      <c r="RVV62" s="10"/>
      <c r="RVW62" s="10"/>
      <c r="RVX62" s="10"/>
      <c r="RVY62" s="10"/>
      <c r="RVZ62" s="10"/>
      <c r="RWA62" s="10"/>
      <c r="RWB62" s="10"/>
      <c r="RWC62" s="10"/>
      <c r="RWD62" s="10"/>
      <c r="RWE62" s="10"/>
      <c r="RWF62" s="10"/>
      <c r="RWG62" s="10"/>
      <c r="RWH62" s="10"/>
      <c r="RWI62" s="10"/>
      <c r="RWJ62" s="10"/>
      <c r="RWK62" s="10"/>
      <c r="RWL62" s="10"/>
      <c r="RWM62" s="10"/>
      <c r="RWN62" s="10"/>
      <c r="RWO62" s="10"/>
      <c r="RWP62" s="10"/>
      <c r="RWQ62" s="10"/>
      <c r="RWR62" s="10"/>
      <c r="RWS62" s="10"/>
      <c r="RWT62" s="10"/>
      <c r="RWU62" s="10"/>
      <c r="RWV62" s="10"/>
      <c r="RWW62" s="10"/>
      <c r="RWX62" s="10"/>
      <c r="RWY62" s="10"/>
      <c r="RWZ62" s="10"/>
      <c r="RXA62" s="10"/>
      <c r="RXB62" s="10"/>
      <c r="RXC62" s="10"/>
      <c r="RXD62" s="10"/>
      <c r="RXE62" s="10"/>
      <c r="RXF62" s="10"/>
      <c r="RXG62" s="10"/>
      <c r="RXH62" s="10"/>
      <c r="RXI62" s="10"/>
      <c r="RXJ62" s="10"/>
      <c r="RXK62" s="10"/>
      <c r="RXL62" s="10"/>
      <c r="RXM62" s="10"/>
      <c r="RXN62" s="10"/>
      <c r="RXO62" s="10"/>
      <c r="RXP62" s="10"/>
      <c r="RXQ62" s="10"/>
      <c r="RXR62" s="10"/>
      <c r="RXS62" s="10"/>
      <c r="RXT62" s="10"/>
      <c r="RXU62" s="10"/>
      <c r="RXV62" s="10"/>
      <c r="RXW62" s="10"/>
      <c r="RXX62" s="10"/>
      <c r="RXY62" s="10"/>
      <c r="RXZ62" s="10"/>
      <c r="RYA62" s="10"/>
      <c r="RYB62" s="10"/>
      <c r="RYC62" s="10"/>
      <c r="RYD62" s="10"/>
      <c r="RYE62" s="10"/>
      <c r="RYF62" s="10"/>
      <c r="RYG62" s="10"/>
      <c r="RYH62" s="10"/>
      <c r="RYI62" s="10"/>
      <c r="RYJ62" s="10"/>
      <c r="RYK62" s="10"/>
      <c r="RYL62" s="10"/>
      <c r="RYM62" s="10"/>
      <c r="RYN62" s="10"/>
      <c r="RYO62" s="10"/>
      <c r="RYP62" s="10"/>
      <c r="RYQ62" s="10"/>
      <c r="RYR62" s="10"/>
      <c r="RYS62" s="10"/>
      <c r="RYT62" s="10"/>
      <c r="RYU62" s="10"/>
      <c r="RYV62" s="10"/>
      <c r="RYW62" s="10"/>
      <c r="RYX62" s="10"/>
      <c r="RYY62" s="10"/>
      <c r="RYZ62" s="10"/>
      <c r="RZA62" s="10"/>
      <c r="RZB62" s="10"/>
      <c r="RZC62" s="10"/>
      <c r="RZD62" s="10"/>
      <c r="RZE62" s="10"/>
      <c r="RZF62" s="10"/>
      <c r="RZG62" s="10"/>
      <c r="RZH62" s="10"/>
      <c r="RZI62" s="10"/>
      <c r="RZJ62" s="10"/>
      <c r="RZK62" s="10"/>
      <c r="RZL62" s="10"/>
      <c r="RZM62" s="10"/>
      <c r="RZN62" s="10"/>
      <c r="RZO62" s="10"/>
      <c r="RZP62" s="10"/>
      <c r="RZQ62" s="10"/>
      <c r="RZR62" s="10"/>
      <c r="RZS62" s="10"/>
      <c r="RZT62" s="10"/>
      <c r="RZU62" s="10"/>
      <c r="RZV62" s="10"/>
      <c r="RZW62" s="10"/>
      <c r="RZX62" s="10"/>
      <c r="RZY62" s="10"/>
      <c r="RZZ62" s="10"/>
      <c r="SAA62" s="10"/>
      <c r="SAB62" s="10"/>
      <c r="SAC62" s="10"/>
      <c r="SAD62" s="10"/>
      <c r="SAE62" s="10"/>
      <c r="SAF62" s="10"/>
      <c r="SAG62" s="10"/>
      <c r="SAH62" s="10"/>
      <c r="SAI62" s="10"/>
      <c r="SAJ62" s="10"/>
      <c r="SAK62" s="10"/>
      <c r="SAL62" s="10"/>
      <c r="SAM62" s="10"/>
      <c r="SAN62" s="10"/>
      <c r="SAO62" s="10"/>
      <c r="SAP62" s="10"/>
      <c r="SAQ62" s="10"/>
      <c r="SAR62" s="10"/>
      <c r="SAS62" s="10"/>
      <c r="SAT62" s="10"/>
      <c r="SAU62" s="10"/>
      <c r="SAV62" s="10"/>
      <c r="SAW62" s="10"/>
      <c r="SAX62" s="10"/>
      <c r="SAY62" s="10"/>
      <c r="SAZ62" s="10"/>
      <c r="SBA62" s="10"/>
      <c r="SBB62" s="10"/>
      <c r="SBC62" s="10"/>
      <c r="SBD62" s="10"/>
      <c r="SBE62" s="10"/>
      <c r="SBF62" s="10"/>
      <c r="SBG62" s="10"/>
      <c r="SBH62" s="10"/>
      <c r="SBI62" s="10"/>
      <c r="SBJ62" s="10"/>
      <c r="SBK62" s="10"/>
      <c r="SBL62" s="10"/>
      <c r="SBM62" s="10"/>
      <c r="SBN62" s="10"/>
      <c r="SBO62" s="10"/>
      <c r="SBP62" s="10"/>
      <c r="SBQ62" s="10"/>
      <c r="SBR62" s="10"/>
      <c r="SBS62" s="10"/>
      <c r="SBT62" s="10"/>
      <c r="SBU62" s="10"/>
      <c r="SBV62" s="10"/>
      <c r="SBW62" s="10"/>
      <c r="SBX62" s="10"/>
      <c r="SBY62" s="10"/>
      <c r="SBZ62" s="10"/>
      <c r="SCA62" s="10"/>
      <c r="SCB62" s="10"/>
      <c r="SCC62" s="10"/>
      <c r="SCD62" s="10"/>
      <c r="SCE62" s="10"/>
      <c r="SCF62" s="10"/>
      <c r="SCG62" s="10"/>
      <c r="SCH62" s="10"/>
      <c r="SCI62" s="10"/>
      <c r="SCJ62" s="10"/>
      <c r="SCK62" s="10"/>
      <c r="SCL62" s="10"/>
      <c r="SCM62" s="10"/>
      <c r="SCN62" s="10"/>
      <c r="SCO62" s="10"/>
      <c r="SCP62" s="10"/>
      <c r="SCQ62" s="10"/>
      <c r="SCR62" s="10"/>
      <c r="SCS62" s="10"/>
      <c r="SCT62" s="10"/>
      <c r="SCU62" s="10"/>
      <c r="SCV62" s="10"/>
      <c r="SCW62" s="10"/>
      <c r="SCX62" s="10"/>
      <c r="SCY62" s="10"/>
      <c r="SCZ62" s="10"/>
      <c r="SDA62" s="10"/>
      <c r="SDB62" s="10"/>
      <c r="SDC62" s="10"/>
      <c r="SDD62" s="10"/>
      <c r="SDE62" s="10"/>
      <c r="SDF62" s="10"/>
      <c r="SDG62" s="10"/>
      <c r="SDH62" s="10"/>
      <c r="SDI62" s="10"/>
      <c r="SDJ62" s="10"/>
      <c r="SDK62" s="10"/>
      <c r="SDL62" s="10"/>
      <c r="SDM62" s="10"/>
      <c r="SDN62" s="10"/>
      <c r="SDO62" s="10"/>
      <c r="SDP62" s="10"/>
      <c r="SDQ62" s="10"/>
      <c r="SDR62" s="10"/>
      <c r="SDS62" s="10"/>
      <c r="SDT62" s="10"/>
      <c r="SDU62" s="10"/>
      <c r="SDV62" s="10"/>
      <c r="SDW62" s="10"/>
      <c r="SDX62" s="10"/>
      <c r="SDY62" s="10"/>
      <c r="SDZ62" s="10"/>
      <c r="SEA62" s="10"/>
      <c r="SEB62" s="10"/>
      <c r="SEC62" s="10"/>
      <c r="SED62" s="10"/>
      <c r="SEE62" s="10"/>
      <c r="SEF62" s="10"/>
      <c r="SEG62" s="10"/>
      <c r="SEH62" s="10"/>
      <c r="SEI62" s="10"/>
      <c r="SEJ62" s="10"/>
      <c r="SEK62" s="10"/>
      <c r="SEL62" s="10"/>
      <c r="SEM62" s="10"/>
      <c r="SEN62" s="10"/>
      <c r="SEO62" s="10"/>
      <c r="SEP62" s="10"/>
      <c r="SEQ62" s="10"/>
      <c r="SER62" s="10"/>
      <c r="SES62" s="10"/>
      <c r="SET62" s="10"/>
      <c r="SEU62" s="10"/>
      <c r="SEV62" s="10"/>
      <c r="SEW62" s="10"/>
      <c r="SEX62" s="10"/>
      <c r="SEY62" s="10"/>
      <c r="SEZ62" s="10"/>
      <c r="SFA62" s="10"/>
      <c r="SFB62" s="10"/>
      <c r="SFC62" s="10"/>
      <c r="SFD62" s="10"/>
      <c r="SFE62" s="10"/>
      <c r="SFF62" s="10"/>
      <c r="SFG62" s="10"/>
      <c r="SFH62" s="10"/>
      <c r="SFI62" s="10"/>
      <c r="SFJ62" s="10"/>
      <c r="SFK62" s="10"/>
      <c r="SFL62" s="10"/>
      <c r="SFM62" s="10"/>
      <c r="SFN62" s="10"/>
      <c r="SFO62" s="10"/>
      <c r="SFP62" s="10"/>
      <c r="SFQ62" s="10"/>
      <c r="SFR62" s="10"/>
      <c r="SFS62" s="10"/>
      <c r="SFT62" s="10"/>
      <c r="SFU62" s="10"/>
      <c r="SFV62" s="10"/>
      <c r="SFW62" s="10"/>
      <c r="SFX62" s="10"/>
      <c r="SFY62" s="10"/>
      <c r="SFZ62" s="10"/>
      <c r="SGA62" s="10"/>
      <c r="SGB62" s="10"/>
      <c r="SGC62" s="10"/>
      <c r="SGD62" s="10"/>
      <c r="SGE62" s="10"/>
      <c r="SGF62" s="10"/>
      <c r="SGG62" s="10"/>
      <c r="SGH62" s="10"/>
      <c r="SGI62" s="10"/>
      <c r="SGJ62" s="10"/>
      <c r="SGK62" s="10"/>
      <c r="SGL62" s="10"/>
      <c r="SGM62" s="10"/>
      <c r="SGN62" s="10"/>
      <c r="SGO62" s="10"/>
      <c r="SGP62" s="10"/>
      <c r="SGQ62" s="10"/>
      <c r="SGR62" s="10"/>
      <c r="SGS62" s="10"/>
      <c r="SGT62" s="10"/>
      <c r="SGU62" s="10"/>
      <c r="SGV62" s="10"/>
      <c r="SGW62" s="10"/>
      <c r="SGX62" s="10"/>
      <c r="SGY62" s="10"/>
      <c r="SGZ62" s="10"/>
      <c r="SHA62" s="10"/>
      <c r="SHB62" s="10"/>
      <c r="SHC62" s="10"/>
      <c r="SHD62" s="10"/>
      <c r="SHE62" s="10"/>
      <c r="SHF62" s="10"/>
      <c r="SHG62" s="10"/>
      <c r="SHH62" s="10"/>
      <c r="SHI62" s="10"/>
      <c r="SHJ62" s="10"/>
      <c r="SHK62" s="10"/>
      <c r="SHL62" s="10"/>
      <c r="SHM62" s="10"/>
      <c r="SHN62" s="10"/>
      <c r="SHO62" s="10"/>
      <c r="SHP62" s="10"/>
      <c r="SHQ62" s="10"/>
      <c r="SHR62" s="10"/>
      <c r="SHS62" s="10"/>
      <c r="SHT62" s="10"/>
      <c r="SHU62" s="10"/>
      <c r="SHV62" s="10"/>
      <c r="SHW62" s="10"/>
      <c r="SHX62" s="10"/>
      <c r="SHY62" s="10"/>
      <c r="SHZ62" s="10"/>
      <c r="SIA62" s="10"/>
      <c r="SIB62" s="10"/>
      <c r="SIC62" s="10"/>
      <c r="SID62" s="10"/>
      <c r="SIE62" s="10"/>
      <c r="SIF62" s="10"/>
      <c r="SIG62" s="10"/>
      <c r="SIH62" s="10"/>
      <c r="SII62" s="10"/>
      <c r="SIJ62" s="10"/>
      <c r="SIK62" s="10"/>
      <c r="SIL62" s="10"/>
      <c r="SIM62" s="10"/>
      <c r="SIN62" s="10"/>
      <c r="SIO62" s="10"/>
      <c r="SIP62" s="10"/>
      <c r="SIQ62" s="10"/>
      <c r="SIR62" s="10"/>
      <c r="SIS62" s="10"/>
      <c r="SIT62" s="10"/>
      <c r="SIU62" s="10"/>
      <c r="SIV62" s="10"/>
      <c r="SIW62" s="10"/>
      <c r="SIX62" s="10"/>
      <c r="SIY62" s="10"/>
      <c r="SIZ62" s="10"/>
      <c r="SJA62" s="10"/>
      <c r="SJB62" s="10"/>
      <c r="SJC62" s="10"/>
      <c r="SJD62" s="10"/>
      <c r="SJE62" s="10"/>
      <c r="SJF62" s="10"/>
      <c r="SJG62" s="10"/>
      <c r="SJH62" s="10"/>
      <c r="SJI62" s="10"/>
      <c r="SJJ62" s="10"/>
      <c r="SJK62" s="10"/>
      <c r="SJL62" s="10"/>
      <c r="SJM62" s="10"/>
      <c r="SJN62" s="10"/>
      <c r="SJO62" s="10"/>
      <c r="SJP62" s="10"/>
      <c r="SJQ62" s="10"/>
      <c r="SJR62" s="10"/>
      <c r="SJS62" s="10"/>
      <c r="SJT62" s="10"/>
      <c r="SJU62" s="10"/>
      <c r="SJV62" s="10"/>
      <c r="SJW62" s="10"/>
      <c r="SJX62" s="10"/>
      <c r="SJY62" s="10"/>
      <c r="SJZ62" s="10"/>
      <c r="SKA62" s="10"/>
      <c r="SKB62" s="10"/>
      <c r="SKC62" s="10"/>
      <c r="SKD62" s="10"/>
      <c r="SKE62" s="10"/>
      <c r="SKF62" s="10"/>
      <c r="SKG62" s="10"/>
      <c r="SKH62" s="10"/>
      <c r="SKI62" s="10"/>
      <c r="SKJ62" s="10"/>
      <c r="SKK62" s="10"/>
      <c r="SKL62" s="10"/>
      <c r="SKM62" s="10"/>
      <c r="SKN62" s="10"/>
      <c r="SKO62" s="10"/>
      <c r="SKP62" s="10"/>
      <c r="SKQ62" s="10"/>
      <c r="SKR62" s="10"/>
      <c r="SKS62" s="10"/>
      <c r="SKT62" s="10"/>
      <c r="SKU62" s="10"/>
      <c r="SKV62" s="10"/>
      <c r="SKW62" s="10"/>
      <c r="SKX62" s="10"/>
      <c r="SKY62" s="10"/>
      <c r="SKZ62" s="10"/>
      <c r="SLA62" s="10"/>
      <c r="SLB62" s="10"/>
      <c r="SLC62" s="10"/>
      <c r="SLD62" s="10"/>
      <c r="SLE62" s="10"/>
      <c r="SLF62" s="10"/>
      <c r="SLG62" s="10"/>
      <c r="SLH62" s="10"/>
      <c r="SLI62" s="10"/>
      <c r="SLJ62" s="10"/>
      <c r="SLK62" s="10"/>
      <c r="SLL62" s="10"/>
      <c r="SLM62" s="10"/>
      <c r="SLN62" s="10"/>
      <c r="SLO62" s="10"/>
      <c r="SLP62" s="10"/>
      <c r="SLQ62" s="10"/>
      <c r="SLR62" s="10"/>
      <c r="SLS62" s="10"/>
      <c r="SLT62" s="10"/>
      <c r="SLU62" s="10"/>
      <c r="SLV62" s="10"/>
      <c r="SLW62" s="10"/>
      <c r="SLX62" s="10"/>
      <c r="SLY62" s="10"/>
      <c r="SLZ62" s="10"/>
      <c r="SMA62" s="10"/>
      <c r="SMB62" s="10"/>
      <c r="SMC62" s="10"/>
      <c r="SMD62" s="10"/>
      <c r="SME62" s="10"/>
      <c r="SMF62" s="10"/>
      <c r="SMG62" s="10"/>
      <c r="SMH62" s="10"/>
      <c r="SMI62" s="10"/>
      <c r="SMJ62" s="10"/>
      <c r="SMK62" s="10"/>
      <c r="SML62" s="10"/>
      <c r="SMM62" s="10"/>
      <c r="SMN62" s="10"/>
      <c r="SMO62" s="10"/>
      <c r="SMP62" s="10"/>
      <c r="SMQ62" s="10"/>
      <c r="SMR62" s="10"/>
      <c r="SMS62" s="10"/>
      <c r="SMT62" s="10"/>
      <c r="SMU62" s="10"/>
      <c r="SMV62" s="10"/>
      <c r="SMW62" s="10"/>
      <c r="SMX62" s="10"/>
      <c r="SMY62" s="10"/>
      <c r="SMZ62" s="10"/>
      <c r="SNA62" s="10"/>
      <c r="SNB62" s="10"/>
      <c r="SNC62" s="10"/>
      <c r="SND62" s="10"/>
      <c r="SNE62" s="10"/>
      <c r="SNF62" s="10"/>
      <c r="SNG62" s="10"/>
      <c r="SNH62" s="10"/>
      <c r="SNI62" s="10"/>
      <c r="SNJ62" s="10"/>
      <c r="SNK62" s="10"/>
      <c r="SNL62" s="10"/>
      <c r="SNM62" s="10"/>
      <c r="SNN62" s="10"/>
      <c r="SNO62" s="10"/>
      <c r="SNP62" s="10"/>
      <c r="SNQ62" s="10"/>
      <c r="SNR62" s="10"/>
      <c r="SNS62" s="10"/>
      <c r="SNT62" s="10"/>
      <c r="SNU62" s="10"/>
      <c r="SNV62" s="10"/>
      <c r="SNW62" s="10"/>
      <c r="SNX62" s="10"/>
      <c r="SNY62" s="10"/>
      <c r="SNZ62" s="10"/>
      <c r="SOA62" s="10"/>
      <c r="SOB62" s="10"/>
      <c r="SOC62" s="10"/>
      <c r="SOD62" s="10"/>
      <c r="SOE62" s="10"/>
      <c r="SOF62" s="10"/>
      <c r="SOG62" s="10"/>
      <c r="SOH62" s="10"/>
      <c r="SOI62" s="10"/>
      <c r="SOJ62" s="10"/>
      <c r="SOK62" s="10"/>
      <c r="SOL62" s="10"/>
      <c r="SOM62" s="10"/>
      <c r="SON62" s="10"/>
      <c r="SOO62" s="10"/>
      <c r="SOP62" s="10"/>
      <c r="SOQ62" s="10"/>
      <c r="SOR62" s="10"/>
      <c r="SOS62" s="10"/>
      <c r="SOT62" s="10"/>
      <c r="SOU62" s="10"/>
      <c r="SOV62" s="10"/>
      <c r="SOW62" s="10"/>
      <c r="SOX62" s="10"/>
      <c r="SOY62" s="10"/>
      <c r="SOZ62" s="10"/>
      <c r="SPA62" s="10"/>
      <c r="SPB62" s="10"/>
      <c r="SPC62" s="10"/>
      <c r="SPD62" s="10"/>
      <c r="SPE62" s="10"/>
      <c r="SPF62" s="10"/>
      <c r="SPG62" s="10"/>
      <c r="SPH62" s="10"/>
      <c r="SPI62" s="10"/>
      <c r="SPJ62" s="10"/>
      <c r="SPK62" s="10"/>
      <c r="SPL62" s="10"/>
      <c r="SPM62" s="10"/>
      <c r="SPN62" s="10"/>
      <c r="SPO62" s="10"/>
      <c r="SPP62" s="10"/>
      <c r="SPQ62" s="10"/>
      <c r="SPR62" s="10"/>
      <c r="SPS62" s="10"/>
      <c r="SPT62" s="10"/>
      <c r="SPU62" s="10"/>
      <c r="SPV62" s="10"/>
      <c r="SPW62" s="10"/>
      <c r="SPX62" s="10"/>
      <c r="SPY62" s="10"/>
      <c r="SPZ62" s="10"/>
      <c r="SQA62" s="10"/>
      <c r="SQB62" s="10"/>
      <c r="SQC62" s="10"/>
      <c r="SQD62" s="10"/>
      <c r="SQE62" s="10"/>
      <c r="SQF62" s="10"/>
      <c r="SQG62" s="10"/>
      <c r="SQH62" s="10"/>
      <c r="SQI62" s="10"/>
      <c r="SQJ62" s="10"/>
      <c r="SQK62" s="10"/>
      <c r="SQL62" s="10"/>
      <c r="SQM62" s="10"/>
      <c r="SQN62" s="10"/>
      <c r="SQO62" s="10"/>
      <c r="SQP62" s="10"/>
      <c r="SQQ62" s="10"/>
      <c r="SQR62" s="10"/>
      <c r="SQS62" s="10"/>
      <c r="SQT62" s="10"/>
      <c r="SQU62" s="10"/>
      <c r="SQV62" s="10"/>
      <c r="SQW62" s="10"/>
      <c r="SQX62" s="10"/>
      <c r="SQY62" s="10"/>
      <c r="SQZ62" s="10"/>
      <c r="SRA62" s="10"/>
      <c r="SRB62" s="10"/>
      <c r="SRC62" s="10"/>
      <c r="SRD62" s="10"/>
      <c r="SRE62" s="10"/>
      <c r="SRF62" s="10"/>
      <c r="SRG62" s="10"/>
      <c r="SRH62" s="10"/>
      <c r="SRI62" s="10"/>
      <c r="SRJ62" s="10"/>
      <c r="SRK62" s="10"/>
      <c r="SRL62" s="10"/>
      <c r="SRM62" s="10"/>
      <c r="SRN62" s="10"/>
      <c r="SRO62" s="10"/>
      <c r="SRP62" s="10"/>
      <c r="SRQ62" s="10"/>
      <c r="SRR62" s="10"/>
      <c r="SRS62" s="10"/>
      <c r="SRT62" s="10"/>
      <c r="SRU62" s="10"/>
      <c r="SRV62" s="10"/>
      <c r="SRW62" s="10"/>
      <c r="SRX62" s="10"/>
      <c r="SRY62" s="10"/>
      <c r="SRZ62" s="10"/>
      <c r="SSA62" s="10"/>
      <c r="SSB62" s="10"/>
      <c r="SSC62" s="10"/>
      <c r="SSD62" s="10"/>
      <c r="SSE62" s="10"/>
      <c r="SSF62" s="10"/>
      <c r="SSG62" s="10"/>
      <c r="SSH62" s="10"/>
      <c r="SSI62" s="10"/>
      <c r="SSJ62" s="10"/>
      <c r="SSK62" s="10"/>
      <c r="SSL62" s="10"/>
      <c r="SSM62" s="10"/>
      <c r="SSN62" s="10"/>
      <c r="SSO62" s="10"/>
      <c r="SSP62" s="10"/>
      <c r="SSQ62" s="10"/>
      <c r="SSR62" s="10"/>
      <c r="SSS62" s="10"/>
      <c r="SST62" s="10"/>
      <c r="SSU62" s="10"/>
      <c r="SSV62" s="10"/>
      <c r="SSW62" s="10"/>
      <c r="SSX62" s="10"/>
      <c r="SSY62" s="10"/>
      <c r="SSZ62" s="10"/>
      <c r="STA62" s="10"/>
      <c r="STB62" s="10"/>
      <c r="STC62" s="10"/>
      <c r="STD62" s="10"/>
      <c r="STE62" s="10"/>
      <c r="STF62" s="10"/>
      <c r="STG62" s="10"/>
      <c r="STH62" s="10"/>
      <c r="STI62" s="10"/>
      <c r="STJ62" s="10"/>
      <c r="STK62" s="10"/>
      <c r="STL62" s="10"/>
      <c r="STM62" s="10"/>
      <c r="STN62" s="10"/>
      <c r="STO62" s="10"/>
      <c r="STP62" s="10"/>
      <c r="STQ62" s="10"/>
      <c r="STR62" s="10"/>
      <c r="STS62" s="10"/>
      <c r="STT62" s="10"/>
      <c r="STU62" s="10"/>
      <c r="STV62" s="10"/>
      <c r="STW62" s="10"/>
      <c r="STX62" s="10"/>
      <c r="STY62" s="10"/>
      <c r="STZ62" s="10"/>
      <c r="SUA62" s="10"/>
      <c r="SUB62" s="10"/>
      <c r="SUC62" s="10"/>
      <c r="SUD62" s="10"/>
      <c r="SUE62" s="10"/>
      <c r="SUF62" s="10"/>
      <c r="SUG62" s="10"/>
      <c r="SUH62" s="10"/>
      <c r="SUI62" s="10"/>
      <c r="SUJ62" s="10"/>
      <c r="SUK62" s="10"/>
      <c r="SUL62" s="10"/>
      <c r="SUM62" s="10"/>
      <c r="SUN62" s="10"/>
      <c r="SUO62" s="10"/>
      <c r="SUP62" s="10"/>
      <c r="SUQ62" s="10"/>
      <c r="SUR62" s="10"/>
      <c r="SUS62" s="10"/>
      <c r="SUT62" s="10"/>
      <c r="SUU62" s="10"/>
      <c r="SUV62" s="10"/>
      <c r="SUW62" s="10"/>
      <c r="SUX62" s="10"/>
      <c r="SUY62" s="10"/>
      <c r="SUZ62" s="10"/>
      <c r="SVA62" s="10"/>
      <c r="SVB62" s="10"/>
      <c r="SVC62" s="10"/>
      <c r="SVD62" s="10"/>
      <c r="SVE62" s="10"/>
      <c r="SVF62" s="10"/>
      <c r="SVG62" s="10"/>
      <c r="SVH62" s="10"/>
      <c r="SVI62" s="10"/>
      <c r="SVJ62" s="10"/>
      <c r="SVK62" s="10"/>
      <c r="SVL62" s="10"/>
      <c r="SVM62" s="10"/>
      <c r="SVN62" s="10"/>
      <c r="SVO62" s="10"/>
      <c r="SVP62" s="10"/>
      <c r="SVQ62" s="10"/>
      <c r="SVR62" s="10"/>
      <c r="SVS62" s="10"/>
      <c r="SVT62" s="10"/>
      <c r="SVU62" s="10"/>
      <c r="SVV62" s="10"/>
      <c r="SVW62" s="10"/>
      <c r="SVX62" s="10"/>
      <c r="SVY62" s="10"/>
      <c r="SVZ62" s="10"/>
      <c r="SWA62" s="10"/>
      <c r="SWB62" s="10"/>
      <c r="SWC62" s="10"/>
      <c r="SWD62" s="10"/>
      <c r="SWE62" s="10"/>
      <c r="SWF62" s="10"/>
      <c r="SWG62" s="10"/>
      <c r="SWH62" s="10"/>
      <c r="SWI62" s="10"/>
      <c r="SWJ62" s="10"/>
      <c r="SWK62" s="10"/>
      <c r="SWL62" s="10"/>
      <c r="SWM62" s="10"/>
      <c r="SWN62" s="10"/>
      <c r="SWO62" s="10"/>
      <c r="SWP62" s="10"/>
      <c r="SWQ62" s="10"/>
      <c r="SWR62" s="10"/>
      <c r="SWS62" s="10"/>
      <c r="SWT62" s="10"/>
      <c r="SWU62" s="10"/>
      <c r="SWV62" s="10"/>
      <c r="SWW62" s="10"/>
      <c r="SWX62" s="10"/>
      <c r="SWY62" s="10"/>
      <c r="SWZ62" s="10"/>
      <c r="SXA62" s="10"/>
      <c r="SXB62" s="10"/>
      <c r="SXC62" s="10"/>
      <c r="SXD62" s="10"/>
      <c r="SXE62" s="10"/>
      <c r="SXF62" s="10"/>
      <c r="SXG62" s="10"/>
      <c r="SXH62" s="10"/>
      <c r="SXI62" s="10"/>
      <c r="SXJ62" s="10"/>
      <c r="SXK62" s="10"/>
      <c r="SXL62" s="10"/>
      <c r="SXM62" s="10"/>
      <c r="SXN62" s="10"/>
      <c r="SXO62" s="10"/>
      <c r="SXP62" s="10"/>
      <c r="SXQ62" s="10"/>
      <c r="SXR62" s="10"/>
      <c r="SXS62" s="10"/>
      <c r="SXT62" s="10"/>
      <c r="SXU62" s="10"/>
      <c r="SXV62" s="10"/>
      <c r="SXW62" s="10"/>
      <c r="SXX62" s="10"/>
      <c r="SXY62" s="10"/>
      <c r="SXZ62" s="10"/>
      <c r="SYA62" s="10"/>
      <c r="SYB62" s="10"/>
      <c r="SYC62" s="10"/>
      <c r="SYD62" s="10"/>
      <c r="SYE62" s="10"/>
      <c r="SYF62" s="10"/>
      <c r="SYG62" s="10"/>
      <c r="SYH62" s="10"/>
      <c r="SYI62" s="10"/>
      <c r="SYJ62" s="10"/>
      <c r="SYK62" s="10"/>
      <c r="SYL62" s="10"/>
      <c r="SYM62" s="10"/>
      <c r="SYN62" s="10"/>
      <c r="SYO62" s="10"/>
      <c r="SYP62" s="10"/>
      <c r="SYQ62" s="10"/>
      <c r="SYR62" s="10"/>
      <c r="SYS62" s="10"/>
      <c r="SYT62" s="10"/>
      <c r="SYU62" s="10"/>
      <c r="SYV62" s="10"/>
      <c r="SYW62" s="10"/>
      <c r="SYX62" s="10"/>
      <c r="SYY62" s="10"/>
      <c r="SYZ62" s="10"/>
      <c r="SZA62" s="10"/>
      <c r="SZB62" s="10"/>
      <c r="SZC62" s="10"/>
      <c r="SZD62" s="10"/>
      <c r="SZE62" s="10"/>
      <c r="SZF62" s="10"/>
      <c r="SZG62" s="10"/>
      <c r="SZH62" s="10"/>
      <c r="SZI62" s="10"/>
      <c r="SZJ62" s="10"/>
      <c r="SZK62" s="10"/>
      <c r="SZL62" s="10"/>
      <c r="SZM62" s="10"/>
      <c r="SZN62" s="10"/>
      <c r="SZO62" s="10"/>
      <c r="SZP62" s="10"/>
      <c r="SZQ62" s="10"/>
      <c r="SZR62" s="10"/>
      <c r="SZS62" s="10"/>
      <c r="SZT62" s="10"/>
      <c r="SZU62" s="10"/>
      <c r="SZV62" s="10"/>
      <c r="SZW62" s="10"/>
      <c r="SZX62" s="10"/>
      <c r="SZY62" s="10"/>
      <c r="SZZ62" s="10"/>
      <c r="TAA62" s="10"/>
      <c r="TAB62" s="10"/>
      <c r="TAC62" s="10"/>
      <c r="TAD62" s="10"/>
      <c r="TAE62" s="10"/>
      <c r="TAF62" s="10"/>
      <c r="TAG62" s="10"/>
      <c r="TAH62" s="10"/>
      <c r="TAI62" s="10"/>
      <c r="TAJ62" s="10"/>
      <c r="TAK62" s="10"/>
      <c r="TAL62" s="10"/>
      <c r="TAM62" s="10"/>
      <c r="TAN62" s="10"/>
      <c r="TAO62" s="10"/>
      <c r="TAP62" s="10"/>
      <c r="TAQ62" s="10"/>
      <c r="TAR62" s="10"/>
      <c r="TAS62" s="10"/>
      <c r="TAT62" s="10"/>
      <c r="TAU62" s="10"/>
      <c r="TAV62" s="10"/>
      <c r="TAW62" s="10"/>
      <c r="TAX62" s="10"/>
      <c r="TAY62" s="10"/>
      <c r="TAZ62" s="10"/>
      <c r="TBA62" s="10"/>
      <c r="TBB62" s="10"/>
      <c r="TBC62" s="10"/>
      <c r="TBD62" s="10"/>
      <c r="TBE62" s="10"/>
      <c r="TBF62" s="10"/>
      <c r="TBG62" s="10"/>
      <c r="TBH62" s="10"/>
      <c r="TBI62" s="10"/>
      <c r="TBJ62" s="10"/>
      <c r="TBK62" s="10"/>
      <c r="TBL62" s="10"/>
      <c r="TBM62" s="10"/>
      <c r="TBN62" s="10"/>
      <c r="TBO62" s="10"/>
      <c r="TBP62" s="10"/>
      <c r="TBQ62" s="10"/>
      <c r="TBR62" s="10"/>
      <c r="TBS62" s="10"/>
      <c r="TBT62" s="10"/>
      <c r="TBU62" s="10"/>
      <c r="TBV62" s="10"/>
      <c r="TBW62" s="10"/>
      <c r="TBX62" s="10"/>
      <c r="TBY62" s="10"/>
      <c r="TBZ62" s="10"/>
      <c r="TCA62" s="10"/>
      <c r="TCB62" s="10"/>
      <c r="TCC62" s="10"/>
      <c r="TCD62" s="10"/>
      <c r="TCE62" s="10"/>
      <c r="TCF62" s="10"/>
      <c r="TCG62" s="10"/>
      <c r="TCH62" s="10"/>
      <c r="TCI62" s="10"/>
      <c r="TCJ62" s="10"/>
      <c r="TCK62" s="10"/>
      <c r="TCL62" s="10"/>
      <c r="TCM62" s="10"/>
      <c r="TCN62" s="10"/>
      <c r="TCO62" s="10"/>
      <c r="TCP62" s="10"/>
      <c r="TCQ62" s="10"/>
      <c r="TCR62" s="10"/>
      <c r="TCS62" s="10"/>
      <c r="TCT62" s="10"/>
      <c r="TCU62" s="10"/>
      <c r="TCV62" s="10"/>
      <c r="TCW62" s="10"/>
      <c r="TCX62" s="10"/>
      <c r="TCY62" s="10"/>
      <c r="TCZ62" s="10"/>
      <c r="TDA62" s="10"/>
      <c r="TDB62" s="10"/>
      <c r="TDC62" s="10"/>
      <c r="TDD62" s="10"/>
      <c r="TDE62" s="10"/>
      <c r="TDF62" s="10"/>
      <c r="TDG62" s="10"/>
      <c r="TDH62" s="10"/>
      <c r="TDI62" s="10"/>
      <c r="TDJ62" s="10"/>
      <c r="TDK62" s="10"/>
      <c r="TDL62" s="10"/>
      <c r="TDM62" s="10"/>
      <c r="TDN62" s="10"/>
      <c r="TDO62" s="10"/>
      <c r="TDP62" s="10"/>
      <c r="TDQ62" s="10"/>
      <c r="TDR62" s="10"/>
      <c r="TDS62" s="10"/>
      <c r="TDT62" s="10"/>
      <c r="TDU62" s="10"/>
      <c r="TDV62" s="10"/>
      <c r="TDW62" s="10"/>
      <c r="TDX62" s="10"/>
      <c r="TDY62" s="10"/>
      <c r="TDZ62" s="10"/>
      <c r="TEA62" s="10"/>
      <c r="TEB62" s="10"/>
      <c r="TEC62" s="10"/>
      <c r="TED62" s="10"/>
      <c r="TEE62" s="10"/>
      <c r="TEF62" s="10"/>
      <c r="TEG62" s="10"/>
      <c r="TEH62" s="10"/>
      <c r="TEI62" s="10"/>
      <c r="TEJ62" s="10"/>
      <c r="TEK62" s="10"/>
      <c r="TEL62" s="10"/>
      <c r="TEM62" s="10"/>
      <c r="TEN62" s="10"/>
      <c r="TEO62" s="10"/>
      <c r="TEP62" s="10"/>
      <c r="TEQ62" s="10"/>
      <c r="TER62" s="10"/>
      <c r="TES62" s="10"/>
      <c r="TET62" s="10"/>
      <c r="TEU62" s="10"/>
      <c r="TEV62" s="10"/>
      <c r="TEW62" s="10"/>
      <c r="TEX62" s="10"/>
      <c r="TEY62" s="10"/>
      <c r="TEZ62" s="10"/>
      <c r="TFA62" s="10"/>
      <c r="TFB62" s="10"/>
      <c r="TFC62" s="10"/>
      <c r="TFD62" s="10"/>
      <c r="TFE62" s="10"/>
      <c r="TFF62" s="10"/>
      <c r="TFG62" s="10"/>
      <c r="TFH62" s="10"/>
      <c r="TFI62" s="10"/>
      <c r="TFJ62" s="10"/>
      <c r="TFK62" s="10"/>
      <c r="TFL62" s="10"/>
      <c r="TFM62" s="10"/>
      <c r="TFN62" s="10"/>
      <c r="TFO62" s="10"/>
      <c r="TFP62" s="10"/>
      <c r="TFQ62" s="10"/>
      <c r="TFR62" s="10"/>
      <c r="TFS62" s="10"/>
      <c r="TFT62" s="10"/>
      <c r="TFU62" s="10"/>
      <c r="TFV62" s="10"/>
      <c r="TFW62" s="10"/>
      <c r="TFX62" s="10"/>
      <c r="TFY62" s="10"/>
      <c r="TFZ62" s="10"/>
      <c r="TGA62" s="10"/>
      <c r="TGB62" s="10"/>
      <c r="TGC62" s="10"/>
      <c r="TGD62" s="10"/>
      <c r="TGE62" s="10"/>
      <c r="TGF62" s="10"/>
      <c r="TGG62" s="10"/>
      <c r="TGH62" s="10"/>
      <c r="TGI62" s="10"/>
      <c r="TGJ62" s="10"/>
      <c r="TGK62" s="10"/>
      <c r="TGL62" s="10"/>
      <c r="TGM62" s="10"/>
      <c r="TGN62" s="10"/>
      <c r="TGO62" s="10"/>
      <c r="TGP62" s="10"/>
      <c r="TGQ62" s="10"/>
      <c r="TGR62" s="10"/>
      <c r="TGS62" s="10"/>
      <c r="TGT62" s="10"/>
      <c r="TGU62" s="10"/>
      <c r="TGV62" s="10"/>
      <c r="TGW62" s="10"/>
      <c r="TGX62" s="10"/>
      <c r="TGY62" s="10"/>
      <c r="TGZ62" s="10"/>
      <c r="THA62" s="10"/>
      <c r="THB62" s="10"/>
      <c r="THC62" s="10"/>
      <c r="THD62" s="10"/>
      <c r="THE62" s="10"/>
      <c r="THF62" s="10"/>
      <c r="THG62" s="10"/>
      <c r="THH62" s="10"/>
      <c r="THI62" s="10"/>
      <c r="THJ62" s="10"/>
      <c r="THK62" s="10"/>
      <c r="THL62" s="10"/>
      <c r="THM62" s="10"/>
      <c r="THN62" s="10"/>
      <c r="THO62" s="10"/>
      <c r="THP62" s="10"/>
      <c r="THQ62" s="10"/>
      <c r="THR62" s="10"/>
      <c r="THS62" s="10"/>
      <c r="THT62" s="10"/>
      <c r="THU62" s="10"/>
      <c r="THV62" s="10"/>
      <c r="THW62" s="10"/>
      <c r="THX62" s="10"/>
      <c r="THY62" s="10"/>
      <c r="THZ62" s="10"/>
      <c r="TIA62" s="10"/>
      <c r="TIB62" s="10"/>
      <c r="TIC62" s="10"/>
      <c r="TID62" s="10"/>
      <c r="TIE62" s="10"/>
      <c r="TIF62" s="10"/>
      <c r="TIG62" s="10"/>
      <c r="TIH62" s="10"/>
      <c r="TII62" s="10"/>
      <c r="TIJ62" s="10"/>
      <c r="TIK62" s="10"/>
      <c r="TIL62" s="10"/>
      <c r="TIM62" s="10"/>
      <c r="TIN62" s="10"/>
      <c r="TIO62" s="10"/>
      <c r="TIP62" s="10"/>
      <c r="TIQ62" s="10"/>
      <c r="TIR62" s="10"/>
      <c r="TIS62" s="10"/>
      <c r="TIT62" s="10"/>
      <c r="TIU62" s="10"/>
      <c r="TIV62" s="10"/>
      <c r="TIW62" s="10"/>
      <c r="TIX62" s="10"/>
      <c r="TIY62" s="10"/>
      <c r="TIZ62" s="10"/>
      <c r="TJA62" s="10"/>
      <c r="TJB62" s="10"/>
      <c r="TJC62" s="10"/>
      <c r="TJD62" s="10"/>
      <c r="TJE62" s="10"/>
      <c r="TJF62" s="10"/>
      <c r="TJG62" s="10"/>
      <c r="TJH62" s="10"/>
      <c r="TJI62" s="10"/>
      <c r="TJJ62" s="10"/>
      <c r="TJK62" s="10"/>
      <c r="TJL62" s="10"/>
      <c r="TJM62" s="10"/>
      <c r="TJN62" s="10"/>
      <c r="TJO62" s="10"/>
      <c r="TJP62" s="10"/>
      <c r="TJQ62" s="10"/>
      <c r="TJR62" s="10"/>
      <c r="TJS62" s="10"/>
      <c r="TJT62" s="10"/>
      <c r="TJU62" s="10"/>
      <c r="TJV62" s="10"/>
      <c r="TJW62" s="10"/>
      <c r="TJX62" s="10"/>
      <c r="TJY62" s="10"/>
      <c r="TJZ62" s="10"/>
      <c r="TKA62" s="10"/>
      <c r="TKB62" s="10"/>
      <c r="TKC62" s="10"/>
      <c r="TKD62" s="10"/>
      <c r="TKE62" s="10"/>
      <c r="TKF62" s="10"/>
      <c r="TKG62" s="10"/>
      <c r="TKH62" s="10"/>
      <c r="TKI62" s="10"/>
      <c r="TKJ62" s="10"/>
      <c r="TKK62" s="10"/>
      <c r="TKL62" s="10"/>
      <c r="TKM62" s="10"/>
      <c r="TKN62" s="10"/>
      <c r="TKO62" s="10"/>
      <c r="TKP62" s="10"/>
      <c r="TKQ62" s="10"/>
      <c r="TKR62" s="10"/>
      <c r="TKS62" s="10"/>
      <c r="TKT62" s="10"/>
      <c r="TKU62" s="10"/>
      <c r="TKV62" s="10"/>
      <c r="TKW62" s="10"/>
      <c r="TKX62" s="10"/>
      <c r="TKY62" s="10"/>
      <c r="TKZ62" s="10"/>
      <c r="TLA62" s="10"/>
      <c r="TLB62" s="10"/>
      <c r="TLC62" s="10"/>
      <c r="TLD62" s="10"/>
      <c r="TLE62" s="10"/>
      <c r="TLF62" s="10"/>
      <c r="TLG62" s="10"/>
      <c r="TLH62" s="10"/>
      <c r="TLI62" s="10"/>
      <c r="TLJ62" s="10"/>
      <c r="TLK62" s="10"/>
      <c r="TLL62" s="10"/>
      <c r="TLM62" s="10"/>
      <c r="TLN62" s="10"/>
      <c r="TLO62" s="10"/>
      <c r="TLP62" s="10"/>
      <c r="TLQ62" s="10"/>
      <c r="TLR62" s="10"/>
      <c r="TLS62" s="10"/>
      <c r="TLT62" s="10"/>
      <c r="TLU62" s="10"/>
      <c r="TLV62" s="10"/>
      <c r="TLW62" s="10"/>
      <c r="TLX62" s="10"/>
      <c r="TLY62" s="10"/>
      <c r="TLZ62" s="10"/>
      <c r="TMA62" s="10"/>
      <c r="TMB62" s="10"/>
      <c r="TMC62" s="10"/>
      <c r="TMD62" s="10"/>
      <c r="TME62" s="10"/>
      <c r="TMF62" s="10"/>
      <c r="TMG62" s="10"/>
      <c r="TMH62" s="10"/>
      <c r="TMI62" s="10"/>
      <c r="TMJ62" s="10"/>
      <c r="TMK62" s="10"/>
      <c r="TML62" s="10"/>
      <c r="TMM62" s="10"/>
      <c r="TMN62" s="10"/>
      <c r="TMO62" s="10"/>
      <c r="TMP62" s="10"/>
      <c r="TMQ62" s="10"/>
      <c r="TMR62" s="10"/>
      <c r="TMS62" s="10"/>
      <c r="TMT62" s="10"/>
      <c r="TMU62" s="10"/>
      <c r="TMV62" s="10"/>
      <c r="TMW62" s="10"/>
      <c r="TMX62" s="10"/>
      <c r="TMY62" s="10"/>
      <c r="TMZ62" s="10"/>
      <c r="TNA62" s="10"/>
      <c r="TNB62" s="10"/>
      <c r="TNC62" s="10"/>
      <c r="TND62" s="10"/>
      <c r="TNE62" s="10"/>
      <c r="TNF62" s="10"/>
      <c r="TNG62" s="10"/>
      <c r="TNH62" s="10"/>
      <c r="TNI62" s="10"/>
      <c r="TNJ62" s="10"/>
      <c r="TNK62" s="10"/>
      <c r="TNL62" s="10"/>
      <c r="TNM62" s="10"/>
      <c r="TNN62" s="10"/>
      <c r="TNO62" s="10"/>
      <c r="TNP62" s="10"/>
      <c r="TNQ62" s="10"/>
      <c r="TNR62" s="10"/>
      <c r="TNS62" s="10"/>
      <c r="TNT62" s="10"/>
      <c r="TNU62" s="10"/>
      <c r="TNV62" s="10"/>
      <c r="TNW62" s="10"/>
      <c r="TNX62" s="10"/>
      <c r="TNY62" s="10"/>
      <c r="TNZ62" s="10"/>
      <c r="TOA62" s="10"/>
      <c r="TOB62" s="10"/>
      <c r="TOC62" s="10"/>
      <c r="TOD62" s="10"/>
      <c r="TOE62" s="10"/>
      <c r="TOF62" s="10"/>
      <c r="TOG62" s="10"/>
      <c r="TOH62" s="10"/>
      <c r="TOI62" s="10"/>
      <c r="TOJ62" s="10"/>
      <c r="TOK62" s="10"/>
      <c r="TOL62" s="10"/>
      <c r="TOM62" s="10"/>
      <c r="TON62" s="10"/>
      <c r="TOO62" s="10"/>
      <c r="TOP62" s="10"/>
      <c r="TOQ62" s="10"/>
      <c r="TOR62" s="10"/>
      <c r="TOS62" s="10"/>
      <c r="TOT62" s="10"/>
      <c r="TOU62" s="10"/>
      <c r="TOV62" s="10"/>
      <c r="TOW62" s="10"/>
      <c r="TOX62" s="10"/>
      <c r="TOY62" s="10"/>
      <c r="TOZ62" s="10"/>
      <c r="TPA62" s="10"/>
      <c r="TPB62" s="10"/>
      <c r="TPC62" s="10"/>
      <c r="TPD62" s="10"/>
      <c r="TPE62" s="10"/>
      <c r="TPF62" s="10"/>
      <c r="TPG62" s="10"/>
      <c r="TPH62" s="10"/>
      <c r="TPI62" s="10"/>
      <c r="TPJ62" s="10"/>
      <c r="TPK62" s="10"/>
      <c r="TPL62" s="10"/>
      <c r="TPM62" s="10"/>
      <c r="TPN62" s="10"/>
      <c r="TPO62" s="10"/>
      <c r="TPP62" s="10"/>
      <c r="TPQ62" s="10"/>
      <c r="TPR62" s="10"/>
      <c r="TPS62" s="10"/>
      <c r="TPT62" s="10"/>
      <c r="TPU62" s="10"/>
      <c r="TPV62" s="10"/>
      <c r="TPW62" s="10"/>
      <c r="TPX62" s="10"/>
      <c r="TPY62" s="10"/>
      <c r="TPZ62" s="10"/>
      <c r="TQA62" s="10"/>
      <c r="TQB62" s="10"/>
      <c r="TQC62" s="10"/>
      <c r="TQD62" s="10"/>
      <c r="TQE62" s="10"/>
      <c r="TQF62" s="10"/>
      <c r="TQG62" s="10"/>
      <c r="TQH62" s="10"/>
      <c r="TQI62" s="10"/>
      <c r="TQJ62" s="10"/>
      <c r="TQK62" s="10"/>
      <c r="TQL62" s="10"/>
      <c r="TQM62" s="10"/>
      <c r="TQN62" s="10"/>
      <c r="TQO62" s="10"/>
      <c r="TQP62" s="10"/>
      <c r="TQQ62" s="10"/>
      <c r="TQR62" s="10"/>
      <c r="TQS62" s="10"/>
      <c r="TQT62" s="10"/>
      <c r="TQU62" s="10"/>
      <c r="TQV62" s="10"/>
      <c r="TQW62" s="10"/>
      <c r="TQX62" s="10"/>
      <c r="TQY62" s="10"/>
      <c r="TQZ62" s="10"/>
      <c r="TRA62" s="10"/>
      <c r="TRB62" s="10"/>
      <c r="TRC62" s="10"/>
      <c r="TRD62" s="10"/>
      <c r="TRE62" s="10"/>
      <c r="TRF62" s="10"/>
      <c r="TRG62" s="10"/>
      <c r="TRH62" s="10"/>
      <c r="TRI62" s="10"/>
      <c r="TRJ62" s="10"/>
      <c r="TRK62" s="10"/>
      <c r="TRL62" s="10"/>
      <c r="TRM62" s="10"/>
      <c r="TRN62" s="10"/>
      <c r="TRO62" s="10"/>
      <c r="TRP62" s="10"/>
      <c r="TRQ62" s="10"/>
      <c r="TRR62" s="10"/>
      <c r="TRS62" s="10"/>
      <c r="TRT62" s="10"/>
      <c r="TRU62" s="10"/>
      <c r="TRV62" s="10"/>
      <c r="TRW62" s="10"/>
      <c r="TRX62" s="10"/>
      <c r="TRY62" s="10"/>
      <c r="TRZ62" s="10"/>
      <c r="TSA62" s="10"/>
      <c r="TSB62" s="10"/>
      <c r="TSC62" s="10"/>
      <c r="TSD62" s="10"/>
      <c r="TSE62" s="10"/>
      <c r="TSF62" s="10"/>
      <c r="TSG62" s="10"/>
      <c r="TSH62" s="10"/>
      <c r="TSI62" s="10"/>
      <c r="TSJ62" s="10"/>
      <c r="TSK62" s="10"/>
      <c r="TSL62" s="10"/>
      <c r="TSM62" s="10"/>
      <c r="TSN62" s="10"/>
      <c r="TSO62" s="10"/>
      <c r="TSP62" s="10"/>
      <c r="TSQ62" s="10"/>
      <c r="TSR62" s="10"/>
      <c r="TSS62" s="10"/>
      <c r="TST62" s="10"/>
      <c r="TSU62" s="10"/>
      <c r="TSV62" s="10"/>
      <c r="TSW62" s="10"/>
      <c r="TSX62" s="10"/>
      <c r="TSY62" s="10"/>
      <c r="TSZ62" s="10"/>
      <c r="TTA62" s="10"/>
      <c r="TTB62" s="10"/>
      <c r="TTC62" s="10"/>
      <c r="TTD62" s="10"/>
      <c r="TTE62" s="10"/>
      <c r="TTF62" s="10"/>
      <c r="TTG62" s="10"/>
      <c r="TTH62" s="10"/>
      <c r="TTI62" s="10"/>
      <c r="TTJ62" s="10"/>
      <c r="TTK62" s="10"/>
      <c r="TTL62" s="10"/>
      <c r="TTM62" s="10"/>
      <c r="TTN62" s="10"/>
      <c r="TTO62" s="10"/>
      <c r="TTP62" s="10"/>
      <c r="TTQ62" s="10"/>
      <c r="TTR62" s="10"/>
      <c r="TTS62" s="10"/>
      <c r="TTT62" s="10"/>
      <c r="TTU62" s="10"/>
      <c r="TTV62" s="10"/>
      <c r="TTW62" s="10"/>
      <c r="TTX62" s="10"/>
      <c r="TTY62" s="10"/>
      <c r="TTZ62" s="10"/>
      <c r="TUA62" s="10"/>
      <c r="TUB62" s="10"/>
      <c r="TUC62" s="10"/>
      <c r="TUD62" s="10"/>
      <c r="TUE62" s="10"/>
      <c r="TUF62" s="10"/>
      <c r="TUG62" s="10"/>
      <c r="TUH62" s="10"/>
      <c r="TUI62" s="10"/>
      <c r="TUJ62" s="10"/>
      <c r="TUK62" s="10"/>
      <c r="TUL62" s="10"/>
      <c r="TUM62" s="10"/>
      <c r="TUN62" s="10"/>
      <c r="TUO62" s="10"/>
      <c r="TUP62" s="10"/>
      <c r="TUQ62" s="10"/>
      <c r="TUR62" s="10"/>
      <c r="TUS62" s="10"/>
      <c r="TUT62" s="10"/>
      <c r="TUU62" s="10"/>
      <c r="TUV62" s="10"/>
      <c r="TUW62" s="10"/>
      <c r="TUX62" s="10"/>
      <c r="TUY62" s="10"/>
      <c r="TUZ62" s="10"/>
      <c r="TVA62" s="10"/>
      <c r="TVB62" s="10"/>
      <c r="TVC62" s="10"/>
      <c r="TVD62" s="10"/>
      <c r="TVE62" s="10"/>
      <c r="TVF62" s="10"/>
      <c r="TVG62" s="10"/>
      <c r="TVH62" s="10"/>
      <c r="TVI62" s="10"/>
      <c r="TVJ62" s="10"/>
      <c r="TVK62" s="10"/>
      <c r="TVL62" s="10"/>
      <c r="TVM62" s="10"/>
      <c r="TVN62" s="10"/>
      <c r="TVO62" s="10"/>
      <c r="TVP62" s="10"/>
      <c r="TVQ62" s="10"/>
      <c r="TVR62" s="10"/>
      <c r="TVS62" s="10"/>
      <c r="TVT62" s="10"/>
      <c r="TVU62" s="10"/>
      <c r="TVV62" s="10"/>
      <c r="TVW62" s="10"/>
      <c r="TVX62" s="10"/>
      <c r="TVY62" s="10"/>
      <c r="TVZ62" s="10"/>
      <c r="TWA62" s="10"/>
      <c r="TWB62" s="10"/>
      <c r="TWC62" s="10"/>
      <c r="TWD62" s="10"/>
      <c r="TWE62" s="10"/>
      <c r="TWF62" s="10"/>
      <c r="TWG62" s="10"/>
      <c r="TWH62" s="10"/>
      <c r="TWI62" s="10"/>
      <c r="TWJ62" s="10"/>
      <c r="TWK62" s="10"/>
      <c r="TWL62" s="10"/>
      <c r="TWM62" s="10"/>
      <c r="TWN62" s="10"/>
      <c r="TWO62" s="10"/>
      <c r="TWP62" s="10"/>
      <c r="TWQ62" s="10"/>
      <c r="TWR62" s="10"/>
      <c r="TWS62" s="10"/>
      <c r="TWT62" s="10"/>
      <c r="TWU62" s="10"/>
      <c r="TWV62" s="10"/>
      <c r="TWW62" s="10"/>
      <c r="TWX62" s="10"/>
      <c r="TWY62" s="10"/>
      <c r="TWZ62" s="10"/>
      <c r="TXA62" s="10"/>
      <c r="TXB62" s="10"/>
      <c r="TXC62" s="10"/>
      <c r="TXD62" s="10"/>
      <c r="TXE62" s="10"/>
      <c r="TXF62" s="10"/>
      <c r="TXG62" s="10"/>
      <c r="TXH62" s="10"/>
      <c r="TXI62" s="10"/>
      <c r="TXJ62" s="10"/>
      <c r="TXK62" s="10"/>
      <c r="TXL62" s="10"/>
      <c r="TXM62" s="10"/>
      <c r="TXN62" s="10"/>
      <c r="TXO62" s="10"/>
      <c r="TXP62" s="10"/>
      <c r="TXQ62" s="10"/>
      <c r="TXR62" s="10"/>
      <c r="TXS62" s="10"/>
      <c r="TXT62" s="10"/>
      <c r="TXU62" s="10"/>
      <c r="TXV62" s="10"/>
      <c r="TXW62" s="10"/>
      <c r="TXX62" s="10"/>
      <c r="TXY62" s="10"/>
      <c r="TXZ62" s="10"/>
      <c r="TYA62" s="10"/>
      <c r="TYB62" s="10"/>
      <c r="TYC62" s="10"/>
      <c r="TYD62" s="10"/>
      <c r="TYE62" s="10"/>
      <c r="TYF62" s="10"/>
      <c r="TYG62" s="10"/>
      <c r="TYH62" s="10"/>
      <c r="TYI62" s="10"/>
      <c r="TYJ62" s="10"/>
      <c r="TYK62" s="10"/>
      <c r="TYL62" s="10"/>
      <c r="TYM62" s="10"/>
      <c r="TYN62" s="10"/>
      <c r="TYO62" s="10"/>
      <c r="TYP62" s="10"/>
      <c r="TYQ62" s="10"/>
      <c r="TYR62" s="10"/>
      <c r="TYS62" s="10"/>
      <c r="TYT62" s="10"/>
      <c r="TYU62" s="10"/>
      <c r="TYV62" s="10"/>
      <c r="TYW62" s="10"/>
      <c r="TYX62" s="10"/>
      <c r="TYY62" s="10"/>
      <c r="TYZ62" s="10"/>
      <c r="TZA62" s="10"/>
      <c r="TZB62" s="10"/>
      <c r="TZC62" s="10"/>
      <c r="TZD62" s="10"/>
      <c r="TZE62" s="10"/>
      <c r="TZF62" s="10"/>
      <c r="TZG62" s="10"/>
      <c r="TZH62" s="10"/>
      <c r="TZI62" s="10"/>
      <c r="TZJ62" s="10"/>
      <c r="TZK62" s="10"/>
      <c r="TZL62" s="10"/>
      <c r="TZM62" s="10"/>
      <c r="TZN62" s="10"/>
      <c r="TZO62" s="10"/>
      <c r="TZP62" s="10"/>
      <c r="TZQ62" s="10"/>
      <c r="TZR62" s="10"/>
      <c r="TZS62" s="10"/>
      <c r="TZT62" s="10"/>
      <c r="TZU62" s="10"/>
      <c r="TZV62" s="10"/>
      <c r="TZW62" s="10"/>
      <c r="TZX62" s="10"/>
      <c r="TZY62" s="10"/>
      <c r="TZZ62" s="10"/>
      <c r="UAA62" s="10"/>
      <c r="UAB62" s="10"/>
      <c r="UAC62" s="10"/>
      <c r="UAD62" s="10"/>
      <c r="UAE62" s="10"/>
      <c r="UAF62" s="10"/>
      <c r="UAG62" s="10"/>
      <c r="UAH62" s="10"/>
      <c r="UAI62" s="10"/>
      <c r="UAJ62" s="10"/>
      <c r="UAK62" s="10"/>
      <c r="UAL62" s="10"/>
      <c r="UAM62" s="10"/>
      <c r="UAN62" s="10"/>
      <c r="UAO62" s="10"/>
      <c r="UAP62" s="10"/>
      <c r="UAQ62" s="10"/>
      <c r="UAR62" s="10"/>
      <c r="UAS62" s="10"/>
      <c r="UAT62" s="10"/>
      <c r="UAU62" s="10"/>
      <c r="UAV62" s="10"/>
      <c r="UAW62" s="10"/>
      <c r="UAX62" s="10"/>
      <c r="UAY62" s="10"/>
      <c r="UAZ62" s="10"/>
      <c r="UBA62" s="10"/>
      <c r="UBB62" s="10"/>
      <c r="UBC62" s="10"/>
      <c r="UBD62" s="10"/>
      <c r="UBE62" s="10"/>
      <c r="UBF62" s="10"/>
      <c r="UBG62" s="10"/>
      <c r="UBH62" s="10"/>
      <c r="UBI62" s="10"/>
      <c r="UBJ62" s="10"/>
      <c r="UBK62" s="10"/>
      <c r="UBL62" s="10"/>
      <c r="UBM62" s="10"/>
      <c r="UBN62" s="10"/>
      <c r="UBO62" s="10"/>
      <c r="UBP62" s="10"/>
      <c r="UBQ62" s="10"/>
      <c r="UBR62" s="10"/>
      <c r="UBS62" s="10"/>
      <c r="UBT62" s="10"/>
      <c r="UBU62" s="10"/>
      <c r="UBV62" s="10"/>
      <c r="UBW62" s="10"/>
      <c r="UBX62" s="10"/>
      <c r="UBY62" s="10"/>
      <c r="UBZ62" s="10"/>
      <c r="UCA62" s="10"/>
      <c r="UCB62" s="10"/>
      <c r="UCC62" s="10"/>
      <c r="UCD62" s="10"/>
      <c r="UCE62" s="10"/>
      <c r="UCF62" s="10"/>
      <c r="UCG62" s="10"/>
      <c r="UCH62" s="10"/>
      <c r="UCI62" s="10"/>
      <c r="UCJ62" s="10"/>
      <c r="UCK62" s="10"/>
      <c r="UCL62" s="10"/>
      <c r="UCM62" s="10"/>
      <c r="UCN62" s="10"/>
      <c r="UCO62" s="10"/>
      <c r="UCP62" s="10"/>
      <c r="UCQ62" s="10"/>
      <c r="UCR62" s="10"/>
      <c r="UCS62" s="10"/>
      <c r="UCT62" s="10"/>
      <c r="UCU62" s="10"/>
      <c r="UCV62" s="10"/>
      <c r="UCW62" s="10"/>
      <c r="UCX62" s="10"/>
      <c r="UCY62" s="10"/>
      <c r="UCZ62" s="10"/>
      <c r="UDA62" s="10"/>
      <c r="UDB62" s="10"/>
      <c r="UDC62" s="10"/>
      <c r="UDD62" s="10"/>
      <c r="UDE62" s="10"/>
      <c r="UDF62" s="10"/>
      <c r="UDG62" s="10"/>
      <c r="UDH62" s="10"/>
      <c r="UDI62" s="10"/>
      <c r="UDJ62" s="10"/>
      <c r="UDK62" s="10"/>
      <c r="UDL62" s="10"/>
      <c r="UDM62" s="10"/>
      <c r="UDN62" s="10"/>
      <c r="UDO62" s="10"/>
      <c r="UDP62" s="10"/>
      <c r="UDQ62" s="10"/>
      <c r="UDR62" s="10"/>
      <c r="UDS62" s="10"/>
      <c r="UDT62" s="10"/>
      <c r="UDU62" s="10"/>
      <c r="UDV62" s="10"/>
      <c r="UDW62" s="10"/>
      <c r="UDX62" s="10"/>
      <c r="UDY62" s="10"/>
      <c r="UDZ62" s="10"/>
      <c r="UEA62" s="10"/>
      <c r="UEB62" s="10"/>
      <c r="UEC62" s="10"/>
      <c r="UED62" s="10"/>
      <c r="UEE62" s="10"/>
      <c r="UEF62" s="10"/>
      <c r="UEG62" s="10"/>
      <c r="UEH62" s="10"/>
      <c r="UEI62" s="10"/>
      <c r="UEJ62" s="10"/>
      <c r="UEK62" s="10"/>
      <c r="UEL62" s="10"/>
      <c r="UEM62" s="10"/>
      <c r="UEN62" s="10"/>
      <c r="UEO62" s="10"/>
      <c r="UEP62" s="10"/>
      <c r="UEQ62" s="10"/>
      <c r="UER62" s="10"/>
      <c r="UES62" s="10"/>
      <c r="UET62" s="10"/>
      <c r="UEU62" s="10"/>
      <c r="UEV62" s="10"/>
      <c r="UEW62" s="10"/>
      <c r="UEX62" s="10"/>
      <c r="UEY62" s="10"/>
      <c r="UEZ62" s="10"/>
      <c r="UFA62" s="10"/>
      <c r="UFB62" s="10"/>
      <c r="UFC62" s="10"/>
      <c r="UFD62" s="10"/>
      <c r="UFE62" s="10"/>
      <c r="UFF62" s="10"/>
      <c r="UFG62" s="10"/>
      <c r="UFH62" s="10"/>
      <c r="UFI62" s="10"/>
      <c r="UFJ62" s="10"/>
      <c r="UFK62" s="10"/>
      <c r="UFL62" s="10"/>
      <c r="UFM62" s="10"/>
      <c r="UFN62" s="10"/>
      <c r="UFO62" s="10"/>
      <c r="UFP62" s="10"/>
      <c r="UFQ62" s="10"/>
      <c r="UFR62" s="10"/>
      <c r="UFS62" s="10"/>
      <c r="UFT62" s="10"/>
      <c r="UFU62" s="10"/>
      <c r="UFV62" s="10"/>
      <c r="UFW62" s="10"/>
      <c r="UFX62" s="10"/>
      <c r="UFY62" s="10"/>
      <c r="UFZ62" s="10"/>
      <c r="UGA62" s="10"/>
      <c r="UGB62" s="10"/>
      <c r="UGC62" s="10"/>
      <c r="UGD62" s="10"/>
      <c r="UGE62" s="10"/>
      <c r="UGF62" s="10"/>
      <c r="UGG62" s="10"/>
      <c r="UGH62" s="10"/>
      <c r="UGI62" s="10"/>
      <c r="UGJ62" s="10"/>
      <c r="UGK62" s="10"/>
      <c r="UGL62" s="10"/>
      <c r="UGM62" s="10"/>
      <c r="UGN62" s="10"/>
      <c r="UGO62" s="10"/>
      <c r="UGP62" s="10"/>
      <c r="UGQ62" s="10"/>
      <c r="UGR62" s="10"/>
      <c r="UGS62" s="10"/>
      <c r="UGT62" s="10"/>
      <c r="UGU62" s="10"/>
      <c r="UGV62" s="10"/>
      <c r="UGW62" s="10"/>
      <c r="UGX62" s="10"/>
      <c r="UGY62" s="10"/>
      <c r="UGZ62" s="10"/>
      <c r="UHA62" s="10"/>
      <c r="UHB62" s="10"/>
      <c r="UHC62" s="10"/>
      <c r="UHD62" s="10"/>
      <c r="UHE62" s="10"/>
      <c r="UHF62" s="10"/>
      <c r="UHG62" s="10"/>
      <c r="UHH62" s="10"/>
      <c r="UHI62" s="10"/>
      <c r="UHJ62" s="10"/>
      <c r="UHK62" s="10"/>
      <c r="UHL62" s="10"/>
      <c r="UHM62" s="10"/>
      <c r="UHN62" s="10"/>
      <c r="UHO62" s="10"/>
      <c r="UHP62" s="10"/>
      <c r="UHQ62" s="10"/>
      <c r="UHR62" s="10"/>
      <c r="UHS62" s="10"/>
      <c r="UHT62" s="10"/>
      <c r="UHU62" s="10"/>
      <c r="UHV62" s="10"/>
      <c r="UHW62" s="10"/>
      <c r="UHX62" s="10"/>
      <c r="UHY62" s="10"/>
      <c r="UHZ62" s="10"/>
      <c r="UIA62" s="10"/>
      <c r="UIB62" s="10"/>
      <c r="UIC62" s="10"/>
      <c r="UID62" s="10"/>
      <c r="UIE62" s="10"/>
      <c r="UIF62" s="10"/>
      <c r="UIG62" s="10"/>
      <c r="UIH62" s="10"/>
      <c r="UII62" s="10"/>
      <c r="UIJ62" s="10"/>
      <c r="UIK62" s="10"/>
      <c r="UIL62" s="10"/>
      <c r="UIM62" s="10"/>
      <c r="UIN62" s="10"/>
      <c r="UIO62" s="10"/>
      <c r="UIP62" s="10"/>
      <c r="UIQ62" s="10"/>
      <c r="UIR62" s="10"/>
      <c r="UIS62" s="10"/>
      <c r="UIT62" s="10"/>
      <c r="UIU62" s="10"/>
      <c r="UIV62" s="10"/>
      <c r="UIW62" s="10"/>
      <c r="UIX62" s="10"/>
      <c r="UIY62" s="10"/>
      <c r="UIZ62" s="10"/>
      <c r="UJA62" s="10"/>
      <c r="UJB62" s="10"/>
      <c r="UJC62" s="10"/>
      <c r="UJD62" s="10"/>
      <c r="UJE62" s="10"/>
      <c r="UJF62" s="10"/>
      <c r="UJG62" s="10"/>
      <c r="UJH62" s="10"/>
      <c r="UJI62" s="10"/>
      <c r="UJJ62" s="10"/>
      <c r="UJK62" s="10"/>
      <c r="UJL62" s="10"/>
      <c r="UJM62" s="10"/>
      <c r="UJN62" s="10"/>
      <c r="UJO62" s="10"/>
      <c r="UJP62" s="10"/>
      <c r="UJQ62" s="10"/>
      <c r="UJR62" s="10"/>
      <c r="UJS62" s="10"/>
      <c r="UJT62" s="10"/>
      <c r="UJU62" s="10"/>
      <c r="UJV62" s="10"/>
      <c r="UJW62" s="10"/>
      <c r="UJX62" s="10"/>
      <c r="UJY62" s="10"/>
      <c r="UJZ62" s="10"/>
      <c r="UKA62" s="10"/>
      <c r="UKB62" s="10"/>
      <c r="UKC62" s="10"/>
      <c r="UKD62" s="10"/>
      <c r="UKE62" s="10"/>
      <c r="UKF62" s="10"/>
      <c r="UKG62" s="10"/>
      <c r="UKH62" s="10"/>
      <c r="UKI62" s="10"/>
      <c r="UKJ62" s="10"/>
      <c r="UKK62" s="10"/>
      <c r="UKL62" s="10"/>
      <c r="UKM62" s="10"/>
      <c r="UKN62" s="10"/>
      <c r="UKO62" s="10"/>
      <c r="UKP62" s="10"/>
      <c r="UKQ62" s="10"/>
      <c r="UKR62" s="10"/>
      <c r="UKS62" s="10"/>
      <c r="UKT62" s="10"/>
      <c r="UKU62" s="10"/>
      <c r="UKV62" s="10"/>
      <c r="UKW62" s="10"/>
      <c r="UKX62" s="10"/>
      <c r="UKY62" s="10"/>
      <c r="UKZ62" s="10"/>
      <c r="ULA62" s="10"/>
      <c r="ULB62" s="10"/>
      <c r="ULC62" s="10"/>
      <c r="ULD62" s="10"/>
      <c r="ULE62" s="10"/>
      <c r="ULF62" s="10"/>
      <c r="ULG62" s="10"/>
      <c r="ULH62" s="10"/>
      <c r="ULI62" s="10"/>
      <c r="ULJ62" s="10"/>
      <c r="ULK62" s="10"/>
      <c r="ULL62" s="10"/>
      <c r="ULM62" s="10"/>
      <c r="ULN62" s="10"/>
      <c r="ULO62" s="10"/>
      <c r="ULP62" s="10"/>
      <c r="ULQ62" s="10"/>
      <c r="ULR62" s="10"/>
      <c r="ULS62" s="10"/>
      <c r="ULT62" s="10"/>
      <c r="ULU62" s="10"/>
      <c r="ULV62" s="10"/>
      <c r="ULW62" s="10"/>
      <c r="ULX62" s="10"/>
      <c r="ULY62" s="10"/>
      <c r="ULZ62" s="10"/>
      <c r="UMA62" s="10"/>
      <c r="UMB62" s="10"/>
      <c r="UMC62" s="10"/>
      <c r="UMD62" s="10"/>
      <c r="UME62" s="10"/>
      <c r="UMF62" s="10"/>
      <c r="UMG62" s="10"/>
      <c r="UMH62" s="10"/>
      <c r="UMI62" s="10"/>
      <c r="UMJ62" s="10"/>
      <c r="UMK62" s="10"/>
      <c r="UML62" s="10"/>
      <c r="UMM62" s="10"/>
      <c r="UMN62" s="10"/>
      <c r="UMO62" s="10"/>
      <c r="UMP62" s="10"/>
      <c r="UMQ62" s="10"/>
      <c r="UMR62" s="10"/>
      <c r="UMS62" s="10"/>
      <c r="UMT62" s="10"/>
      <c r="UMU62" s="10"/>
      <c r="UMV62" s="10"/>
      <c r="UMW62" s="10"/>
      <c r="UMX62" s="10"/>
      <c r="UMY62" s="10"/>
      <c r="UMZ62" s="10"/>
      <c r="UNA62" s="10"/>
      <c r="UNB62" s="10"/>
      <c r="UNC62" s="10"/>
      <c r="UND62" s="10"/>
      <c r="UNE62" s="10"/>
      <c r="UNF62" s="10"/>
      <c r="UNG62" s="10"/>
      <c r="UNH62" s="10"/>
      <c r="UNI62" s="10"/>
      <c r="UNJ62" s="10"/>
      <c r="UNK62" s="10"/>
      <c r="UNL62" s="10"/>
      <c r="UNM62" s="10"/>
      <c r="UNN62" s="10"/>
      <c r="UNO62" s="10"/>
      <c r="UNP62" s="10"/>
      <c r="UNQ62" s="10"/>
      <c r="UNR62" s="10"/>
      <c r="UNS62" s="10"/>
      <c r="UNT62" s="10"/>
      <c r="UNU62" s="10"/>
      <c r="UNV62" s="10"/>
      <c r="UNW62" s="10"/>
      <c r="UNX62" s="10"/>
      <c r="UNY62" s="10"/>
      <c r="UNZ62" s="10"/>
      <c r="UOA62" s="10"/>
      <c r="UOB62" s="10"/>
      <c r="UOC62" s="10"/>
      <c r="UOD62" s="10"/>
      <c r="UOE62" s="10"/>
      <c r="UOF62" s="10"/>
      <c r="UOG62" s="10"/>
      <c r="UOH62" s="10"/>
      <c r="UOI62" s="10"/>
      <c r="UOJ62" s="10"/>
      <c r="UOK62" s="10"/>
      <c r="UOL62" s="10"/>
      <c r="UOM62" s="10"/>
      <c r="UON62" s="10"/>
      <c r="UOO62" s="10"/>
      <c r="UOP62" s="10"/>
      <c r="UOQ62" s="10"/>
      <c r="UOR62" s="10"/>
      <c r="UOS62" s="10"/>
      <c r="UOT62" s="10"/>
      <c r="UOU62" s="10"/>
      <c r="UOV62" s="10"/>
      <c r="UOW62" s="10"/>
      <c r="UOX62" s="10"/>
      <c r="UOY62" s="10"/>
      <c r="UOZ62" s="10"/>
      <c r="UPA62" s="10"/>
      <c r="UPB62" s="10"/>
      <c r="UPC62" s="10"/>
      <c r="UPD62" s="10"/>
      <c r="UPE62" s="10"/>
      <c r="UPF62" s="10"/>
      <c r="UPG62" s="10"/>
      <c r="UPH62" s="10"/>
      <c r="UPI62" s="10"/>
      <c r="UPJ62" s="10"/>
      <c r="UPK62" s="10"/>
      <c r="UPL62" s="10"/>
      <c r="UPM62" s="10"/>
      <c r="UPN62" s="10"/>
      <c r="UPO62" s="10"/>
      <c r="UPP62" s="10"/>
      <c r="UPQ62" s="10"/>
      <c r="UPR62" s="10"/>
      <c r="UPS62" s="10"/>
      <c r="UPT62" s="10"/>
      <c r="UPU62" s="10"/>
      <c r="UPV62" s="10"/>
      <c r="UPW62" s="10"/>
      <c r="UPX62" s="10"/>
      <c r="UPY62" s="10"/>
      <c r="UPZ62" s="10"/>
      <c r="UQA62" s="10"/>
      <c r="UQB62" s="10"/>
      <c r="UQC62" s="10"/>
      <c r="UQD62" s="10"/>
      <c r="UQE62" s="10"/>
      <c r="UQF62" s="10"/>
      <c r="UQG62" s="10"/>
      <c r="UQH62" s="10"/>
      <c r="UQI62" s="10"/>
      <c r="UQJ62" s="10"/>
      <c r="UQK62" s="10"/>
      <c r="UQL62" s="10"/>
      <c r="UQM62" s="10"/>
      <c r="UQN62" s="10"/>
      <c r="UQO62" s="10"/>
      <c r="UQP62" s="10"/>
      <c r="UQQ62" s="10"/>
      <c r="UQR62" s="10"/>
      <c r="UQS62" s="10"/>
      <c r="UQT62" s="10"/>
      <c r="UQU62" s="10"/>
      <c r="UQV62" s="10"/>
      <c r="UQW62" s="10"/>
      <c r="UQX62" s="10"/>
      <c r="UQY62" s="10"/>
      <c r="UQZ62" s="10"/>
      <c r="URA62" s="10"/>
      <c r="URB62" s="10"/>
      <c r="URC62" s="10"/>
      <c r="URD62" s="10"/>
      <c r="URE62" s="10"/>
      <c r="URF62" s="10"/>
      <c r="URG62" s="10"/>
      <c r="URH62" s="10"/>
      <c r="URI62" s="10"/>
      <c r="URJ62" s="10"/>
      <c r="URK62" s="10"/>
      <c r="URL62" s="10"/>
      <c r="URM62" s="10"/>
      <c r="URN62" s="10"/>
      <c r="URO62" s="10"/>
      <c r="URP62" s="10"/>
      <c r="URQ62" s="10"/>
      <c r="URR62" s="10"/>
      <c r="URS62" s="10"/>
      <c r="URT62" s="10"/>
      <c r="URU62" s="10"/>
      <c r="URV62" s="10"/>
      <c r="URW62" s="10"/>
      <c r="URX62" s="10"/>
      <c r="URY62" s="10"/>
      <c r="URZ62" s="10"/>
      <c r="USA62" s="10"/>
      <c r="USB62" s="10"/>
      <c r="USC62" s="10"/>
      <c r="USD62" s="10"/>
      <c r="USE62" s="10"/>
      <c r="USF62" s="10"/>
      <c r="USG62" s="10"/>
      <c r="USH62" s="10"/>
      <c r="USI62" s="10"/>
      <c r="USJ62" s="10"/>
      <c r="USK62" s="10"/>
      <c r="USL62" s="10"/>
      <c r="USM62" s="10"/>
      <c r="USN62" s="10"/>
      <c r="USO62" s="10"/>
      <c r="USP62" s="10"/>
      <c r="USQ62" s="10"/>
      <c r="USR62" s="10"/>
      <c r="USS62" s="10"/>
      <c r="UST62" s="10"/>
      <c r="USU62" s="10"/>
      <c r="USV62" s="10"/>
      <c r="USW62" s="10"/>
      <c r="USX62" s="10"/>
      <c r="USY62" s="10"/>
      <c r="USZ62" s="10"/>
      <c r="UTA62" s="10"/>
      <c r="UTB62" s="10"/>
      <c r="UTC62" s="10"/>
      <c r="UTD62" s="10"/>
      <c r="UTE62" s="10"/>
      <c r="UTF62" s="10"/>
      <c r="UTG62" s="10"/>
      <c r="UTH62" s="10"/>
      <c r="UTI62" s="10"/>
      <c r="UTJ62" s="10"/>
      <c r="UTK62" s="10"/>
      <c r="UTL62" s="10"/>
      <c r="UTM62" s="10"/>
      <c r="UTN62" s="10"/>
      <c r="UTO62" s="10"/>
      <c r="UTP62" s="10"/>
      <c r="UTQ62" s="10"/>
      <c r="UTR62" s="10"/>
      <c r="UTS62" s="10"/>
      <c r="UTT62" s="10"/>
      <c r="UTU62" s="10"/>
      <c r="UTV62" s="10"/>
      <c r="UTW62" s="10"/>
      <c r="UTX62" s="10"/>
      <c r="UTY62" s="10"/>
      <c r="UTZ62" s="10"/>
      <c r="UUA62" s="10"/>
      <c r="UUB62" s="10"/>
      <c r="UUC62" s="10"/>
      <c r="UUD62" s="10"/>
      <c r="UUE62" s="10"/>
      <c r="UUF62" s="10"/>
      <c r="UUG62" s="10"/>
      <c r="UUH62" s="10"/>
      <c r="UUI62" s="10"/>
      <c r="UUJ62" s="10"/>
      <c r="UUK62" s="10"/>
      <c r="UUL62" s="10"/>
      <c r="UUM62" s="10"/>
      <c r="UUN62" s="10"/>
      <c r="UUO62" s="10"/>
      <c r="UUP62" s="10"/>
      <c r="UUQ62" s="10"/>
      <c r="UUR62" s="10"/>
      <c r="UUS62" s="10"/>
      <c r="UUT62" s="10"/>
      <c r="UUU62" s="10"/>
      <c r="UUV62" s="10"/>
      <c r="UUW62" s="10"/>
      <c r="UUX62" s="10"/>
      <c r="UUY62" s="10"/>
      <c r="UUZ62" s="10"/>
      <c r="UVA62" s="10"/>
      <c r="UVB62" s="10"/>
      <c r="UVC62" s="10"/>
      <c r="UVD62" s="10"/>
      <c r="UVE62" s="10"/>
      <c r="UVF62" s="10"/>
      <c r="UVG62" s="10"/>
      <c r="UVH62" s="10"/>
      <c r="UVI62" s="10"/>
      <c r="UVJ62" s="10"/>
      <c r="UVK62" s="10"/>
      <c r="UVL62" s="10"/>
      <c r="UVM62" s="10"/>
      <c r="UVN62" s="10"/>
      <c r="UVO62" s="10"/>
      <c r="UVP62" s="10"/>
      <c r="UVQ62" s="10"/>
      <c r="UVR62" s="10"/>
      <c r="UVS62" s="10"/>
      <c r="UVT62" s="10"/>
      <c r="UVU62" s="10"/>
      <c r="UVV62" s="10"/>
      <c r="UVW62" s="10"/>
      <c r="UVX62" s="10"/>
      <c r="UVY62" s="10"/>
      <c r="UVZ62" s="10"/>
      <c r="UWA62" s="10"/>
      <c r="UWB62" s="10"/>
      <c r="UWC62" s="10"/>
      <c r="UWD62" s="10"/>
      <c r="UWE62" s="10"/>
      <c r="UWF62" s="10"/>
      <c r="UWG62" s="10"/>
      <c r="UWH62" s="10"/>
      <c r="UWI62" s="10"/>
      <c r="UWJ62" s="10"/>
      <c r="UWK62" s="10"/>
      <c r="UWL62" s="10"/>
      <c r="UWM62" s="10"/>
      <c r="UWN62" s="10"/>
      <c r="UWO62" s="10"/>
      <c r="UWP62" s="10"/>
      <c r="UWQ62" s="10"/>
      <c r="UWR62" s="10"/>
      <c r="UWS62" s="10"/>
      <c r="UWT62" s="10"/>
      <c r="UWU62" s="10"/>
      <c r="UWV62" s="10"/>
      <c r="UWW62" s="10"/>
      <c r="UWX62" s="10"/>
      <c r="UWY62" s="10"/>
      <c r="UWZ62" s="10"/>
      <c r="UXA62" s="10"/>
      <c r="UXB62" s="10"/>
      <c r="UXC62" s="10"/>
      <c r="UXD62" s="10"/>
      <c r="UXE62" s="10"/>
      <c r="UXF62" s="10"/>
      <c r="UXG62" s="10"/>
      <c r="UXH62" s="10"/>
      <c r="UXI62" s="10"/>
      <c r="UXJ62" s="10"/>
      <c r="UXK62" s="10"/>
      <c r="UXL62" s="10"/>
      <c r="UXM62" s="10"/>
      <c r="UXN62" s="10"/>
      <c r="UXO62" s="10"/>
      <c r="UXP62" s="10"/>
      <c r="UXQ62" s="10"/>
      <c r="UXR62" s="10"/>
      <c r="UXS62" s="10"/>
      <c r="UXT62" s="10"/>
      <c r="UXU62" s="10"/>
      <c r="UXV62" s="10"/>
      <c r="UXW62" s="10"/>
      <c r="UXX62" s="10"/>
      <c r="UXY62" s="10"/>
      <c r="UXZ62" s="10"/>
      <c r="UYA62" s="10"/>
      <c r="UYB62" s="10"/>
      <c r="UYC62" s="10"/>
      <c r="UYD62" s="10"/>
      <c r="UYE62" s="10"/>
      <c r="UYF62" s="10"/>
      <c r="UYG62" s="10"/>
      <c r="UYH62" s="10"/>
      <c r="UYI62" s="10"/>
      <c r="UYJ62" s="10"/>
      <c r="UYK62" s="10"/>
      <c r="UYL62" s="10"/>
      <c r="UYM62" s="10"/>
      <c r="UYN62" s="10"/>
      <c r="UYO62" s="10"/>
      <c r="UYP62" s="10"/>
      <c r="UYQ62" s="10"/>
      <c r="UYR62" s="10"/>
      <c r="UYS62" s="10"/>
      <c r="UYT62" s="10"/>
      <c r="UYU62" s="10"/>
      <c r="UYV62" s="10"/>
      <c r="UYW62" s="10"/>
      <c r="UYX62" s="10"/>
      <c r="UYY62" s="10"/>
      <c r="UYZ62" s="10"/>
      <c r="UZA62" s="10"/>
      <c r="UZB62" s="10"/>
      <c r="UZC62" s="10"/>
      <c r="UZD62" s="10"/>
      <c r="UZE62" s="10"/>
      <c r="UZF62" s="10"/>
      <c r="UZG62" s="10"/>
      <c r="UZH62" s="10"/>
      <c r="UZI62" s="10"/>
      <c r="UZJ62" s="10"/>
      <c r="UZK62" s="10"/>
      <c r="UZL62" s="10"/>
      <c r="UZM62" s="10"/>
      <c r="UZN62" s="10"/>
      <c r="UZO62" s="10"/>
      <c r="UZP62" s="10"/>
      <c r="UZQ62" s="10"/>
      <c r="UZR62" s="10"/>
      <c r="UZS62" s="10"/>
      <c r="UZT62" s="10"/>
      <c r="UZU62" s="10"/>
      <c r="UZV62" s="10"/>
      <c r="UZW62" s="10"/>
      <c r="UZX62" s="10"/>
      <c r="UZY62" s="10"/>
      <c r="UZZ62" s="10"/>
      <c r="VAA62" s="10"/>
      <c r="VAB62" s="10"/>
      <c r="VAC62" s="10"/>
      <c r="VAD62" s="10"/>
      <c r="VAE62" s="10"/>
      <c r="VAF62" s="10"/>
      <c r="VAG62" s="10"/>
      <c r="VAH62" s="10"/>
      <c r="VAI62" s="10"/>
      <c r="VAJ62" s="10"/>
      <c r="VAK62" s="10"/>
      <c r="VAL62" s="10"/>
      <c r="VAM62" s="10"/>
      <c r="VAN62" s="10"/>
      <c r="VAO62" s="10"/>
      <c r="VAP62" s="10"/>
      <c r="VAQ62" s="10"/>
      <c r="VAR62" s="10"/>
      <c r="VAS62" s="10"/>
      <c r="VAT62" s="10"/>
      <c r="VAU62" s="10"/>
      <c r="VAV62" s="10"/>
      <c r="VAW62" s="10"/>
      <c r="VAX62" s="10"/>
      <c r="VAY62" s="10"/>
      <c r="VAZ62" s="10"/>
      <c r="VBA62" s="10"/>
      <c r="VBB62" s="10"/>
      <c r="VBC62" s="10"/>
      <c r="VBD62" s="10"/>
      <c r="VBE62" s="10"/>
      <c r="VBF62" s="10"/>
      <c r="VBG62" s="10"/>
      <c r="VBH62" s="10"/>
      <c r="VBI62" s="10"/>
      <c r="VBJ62" s="10"/>
      <c r="VBK62" s="10"/>
      <c r="VBL62" s="10"/>
      <c r="VBM62" s="10"/>
      <c r="VBN62" s="10"/>
      <c r="VBO62" s="10"/>
      <c r="VBP62" s="10"/>
      <c r="VBQ62" s="10"/>
      <c r="VBR62" s="10"/>
      <c r="VBS62" s="10"/>
      <c r="VBT62" s="10"/>
      <c r="VBU62" s="10"/>
      <c r="VBV62" s="10"/>
      <c r="VBW62" s="10"/>
      <c r="VBX62" s="10"/>
      <c r="VBY62" s="10"/>
      <c r="VBZ62" s="10"/>
      <c r="VCA62" s="10"/>
      <c r="VCB62" s="10"/>
      <c r="VCC62" s="10"/>
      <c r="VCD62" s="10"/>
      <c r="VCE62" s="10"/>
      <c r="VCF62" s="10"/>
      <c r="VCG62" s="10"/>
      <c r="VCH62" s="10"/>
      <c r="VCI62" s="10"/>
      <c r="VCJ62" s="10"/>
      <c r="VCK62" s="10"/>
      <c r="VCL62" s="10"/>
      <c r="VCM62" s="10"/>
      <c r="VCN62" s="10"/>
      <c r="VCO62" s="10"/>
      <c r="VCP62" s="10"/>
      <c r="VCQ62" s="10"/>
      <c r="VCR62" s="10"/>
      <c r="VCS62" s="10"/>
      <c r="VCT62" s="10"/>
      <c r="VCU62" s="10"/>
      <c r="VCV62" s="10"/>
      <c r="VCW62" s="10"/>
      <c r="VCX62" s="10"/>
      <c r="VCY62" s="10"/>
      <c r="VCZ62" s="10"/>
      <c r="VDA62" s="10"/>
      <c r="VDB62" s="10"/>
      <c r="VDC62" s="10"/>
      <c r="VDD62" s="10"/>
      <c r="VDE62" s="10"/>
      <c r="VDF62" s="10"/>
      <c r="VDG62" s="10"/>
      <c r="VDH62" s="10"/>
      <c r="VDI62" s="10"/>
      <c r="VDJ62" s="10"/>
      <c r="VDK62" s="10"/>
      <c r="VDL62" s="10"/>
      <c r="VDM62" s="10"/>
      <c r="VDN62" s="10"/>
      <c r="VDO62" s="10"/>
      <c r="VDP62" s="10"/>
      <c r="VDQ62" s="10"/>
      <c r="VDR62" s="10"/>
      <c r="VDS62" s="10"/>
      <c r="VDT62" s="10"/>
      <c r="VDU62" s="10"/>
      <c r="VDV62" s="10"/>
      <c r="VDW62" s="10"/>
      <c r="VDX62" s="10"/>
      <c r="VDY62" s="10"/>
      <c r="VDZ62" s="10"/>
      <c r="VEA62" s="10"/>
      <c r="VEB62" s="10"/>
      <c r="VEC62" s="10"/>
      <c r="VED62" s="10"/>
      <c r="VEE62" s="10"/>
      <c r="VEF62" s="10"/>
      <c r="VEG62" s="10"/>
      <c r="VEH62" s="10"/>
      <c r="VEI62" s="10"/>
      <c r="VEJ62" s="10"/>
      <c r="VEK62" s="10"/>
      <c r="VEL62" s="10"/>
      <c r="VEM62" s="10"/>
      <c r="VEN62" s="10"/>
      <c r="VEO62" s="10"/>
      <c r="VEP62" s="10"/>
      <c r="VEQ62" s="10"/>
      <c r="VER62" s="10"/>
      <c r="VES62" s="10"/>
      <c r="VET62" s="10"/>
      <c r="VEU62" s="10"/>
      <c r="VEV62" s="10"/>
      <c r="VEW62" s="10"/>
      <c r="VEX62" s="10"/>
      <c r="VEY62" s="10"/>
      <c r="VEZ62" s="10"/>
      <c r="VFA62" s="10"/>
      <c r="VFB62" s="10"/>
      <c r="VFC62" s="10"/>
      <c r="VFD62" s="10"/>
      <c r="VFE62" s="10"/>
      <c r="VFF62" s="10"/>
      <c r="VFG62" s="10"/>
      <c r="VFH62" s="10"/>
      <c r="VFI62" s="10"/>
      <c r="VFJ62" s="10"/>
      <c r="VFK62" s="10"/>
      <c r="VFL62" s="10"/>
      <c r="VFM62" s="10"/>
      <c r="VFN62" s="10"/>
      <c r="VFO62" s="10"/>
      <c r="VFP62" s="10"/>
      <c r="VFQ62" s="10"/>
      <c r="VFR62" s="10"/>
      <c r="VFS62" s="10"/>
      <c r="VFT62" s="10"/>
      <c r="VFU62" s="10"/>
      <c r="VFV62" s="10"/>
      <c r="VFW62" s="10"/>
      <c r="VFX62" s="10"/>
      <c r="VFY62" s="10"/>
      <c r="VFZ62" s="10"/>
      <c r="VGA62" s="10"/>
      <c r="VGB62" s="10"/>
      <c r="VGC62" s="10"/>
      <c r="VGD62" s="10"/>
      <c r="VGE62" s="10"/>
      <c r="VGF62" s="10"/>
      <c r="VGG62" s="10"/>
      <c r="VGH62" s="10"/>
      <c r="VGI62" s="10"/>
      <c r="VGJ62" s="10"/>
      <c r="VGK62" s="10"/>
      <c r="VGL62" s="10"/>
      <c r="VGM62" s="10"/>
      <c r="VGN62" s="10"/>
      <c r="VGO62" s="10"/>
      <c r="VGP62" s="10"/>
      <c r="VGQ62" s="10"/>
      <c r="VGR62" s="10"/>
      <c r="VGS62" s="10"/>
      <c r="VGT62" s="10"/>
      <c r="VGU62" s="10"/>
      <c r="VGV62" s="10"/>
      <c r="VGW62" s="10"/>
      <c r="VGX62" s="10"/>
      <c r="VGY62" s="10"/>
      <c r="VGZ62" s="10"/>
      <c r="VHA62" s="10"/>
      <c r="VHB62" s="10"/>
      <c r="VHC62" s="10"/>
      <c r="VHD62" s="10"/>
      <c r="VHE62" s="10"/>
      <c r="VHF62" s="10"/>
      <c r="VHG62" s="10"/>
      <c r="VHH62" s="10"/>
      <c r="VHI62" s="10"/>
      <c r="VHJ62" s="10"/>
      <c r="VHK62" s="10"/>
      <c r="VHL62" s="10"/>
      <c r="VHM62" s="10"/>
      <c r="VHN62" s="10"/>
      <c r="VHO62" s="10"/>
      <c r="VHP62" s="10"/>
      <c r="VHQ62" s="10"/>
      <c r="VHR62" s="10"/>
      <c r="VHS62" s="10"/>
      <c r="VHT62" s="10"/>
      <c r="VHU62" s="10"/>
      <c r="VHV62" s="10"/>
      <c r="VHW62" s="10"/>
      <c r="VHX62" s="10"/>
      <c r="VHY62" s="10"/>
      <c r="VHZ62" s="10"/>
      <c r="VIA62" s="10"/>
      <c r="VIB62" s="10"/>
      <c r="VIC62" s="10"/>
      <c r="VID62" s="10"/>
      <c r="VIE62" s="10"/>
      <c r="VIF62" s="10"/>
      <c r="VIG62" s="10"/>
      <c r="VIH62" s="10"/>
      <c r="VII62" s="10"/>
      <c r="VIJ62" s="10"/>
      <c r="VIK62" s="10"/>
      <c r="VIL62" s="10"/>
      <c r="VIM62" s="10"/>
      <c r="VIN62" s="10"/>
      <c r="VIO62" s="10"/>
      <c r="VIP62" s="10"/>
      <c r="VIQ62" s="10"/>
      <c r="VIR62" s="10"/>
      <c r="VIS62" s="10"/>
      <c r="VIT62" s="10"/>
      <c r="VIU62" s="10"/>
      <c r="VIV62" s="10"/>
      <c r="VIW62" s="10"/>
      <c r="VIX62" s="10"/>
      <c r="VIY62" s="10"/>
      <c r="VIZ62" s="10"/>
      <c r="VJA62" s="10"/>
      <c r="VJB62" s="10"/>
      <c r="VJC62" s="10"/>
      <c r="VJD62" s="10"/>
      <c r="VJE62" s="10"/>
      <c r="VJF62" s="10"/>
      <c r="VJG62" s="10"/>
      <c r="VJH62" s="10"/>
      <c r="VJI62" s="10"/>
      <c r="VJJ62" s="10"/>
      <c r="VJK62" s="10"/>
      <c r="VJL62" s="10"/>
      <c r="VJM62" s="10"/>
      <c r="VJN62" s="10"/>
      <c r="VJO62" s="10"/>
      <c r="VJP62" s="10"/>
      <c r="VJQ62" s="10"/>
      <c r="VJR62" s="10"/>
      <c r="VJS62" s="10"/>
      <c r="VJT62" s="10"/>
      <c r="VJU62" s="10"/>
      <c r="VJV62" s="10"/>
      <c r="VJW62" s="10"/>
      <c r="VJX62" s="10"/>
      <c r="VJY62" s="10"/>
      <c r="VJZ62" s="10"/>
      <c r="VKA62" s="10"/>
      <c r="VKB62" s="10"/>
      <c r="VKC62" s="10"/>
      <c r="VKD62" s="10"/>
      <c r="VKE62" s="10"/>
      <c r="VKF62" s="10"/>
      <c r="VKG62" s="10"/>
      <c r="VKH62" s="10"/>
      <c r="VKI62" s="10"/>
      <c r="VKJ62" s="10"/>
      <c r="VKK62" s="10"/>
      <c r="VKL62" s="10"/>
      <c r="VKM62" s="10"/>
      <c r="VKN62" s="10"/>
      <c r="VKO62" s="10"/>
      <c r="VKP62" s="10"/>
      <c r="VKQ62" s="10"/>
      <c r="VKR62" s="10"/>
      <c r="VKS62" s="10"/>
      <c r="VKT62" s="10"/>
      <c r="VKU62" s="10"/>
      <c r="VKV62" s="10"/>
      <c r="VKW62" s="10"/>
      <c r="VKX62" s="10"/>
      <c r="VKY62" s="10"/>
      <c r="VKZ62" s="10"/>
      <c r="VLA62" s="10"/>
      <c r="VLB62" s="10"/>
      <c r="VLC62" s="10"/>
      <c r="VLD62" s="10"/>
      <c r="VLE62" s="10"/>
      <c r="VLF62" s="10"/>
      <c r="VLG62" s="10"/>
      <c r="VLH62" s="10"/>
      <c r="VLI62" s="10"/>
      <c r="VLJ62" s="10"/>
      <c r="VLK62" s="10"/>
      <c r="VLL62" s="10"/>
      <c r="VLM62" s="10"/>
      <c r="VLN62" s="10"/>
      <c r="VLO62" s="10"/>
      <c r="VLP62" s="10"/>
      <c r="VLQ62" s="10"/>
      <c r="VLR62" s="10"/>
      <c r="VLS62" s="10"/>
      <c r="VLT62" s="10"/>
      <c r="VLU62" s="10"/>
      <c r="VLV62" s="10"/>
      <c r="VLW62" s="10"/>
      <c r="VLX62" s="10"/>
      <c r="VLY62" s="10"/>
      <c r="VLZ62" s="10"/>
      <c r="VMA62" s="10"/>
      <c r="VMB62" s="10"/>
      <c r="VMC62" s="10"/>
      <c r="VMD62" s="10"/>
      <c r="VME62" s="10"/>
      <c r="VMF62" s="10"/>
      <c r="VMG62" s="10"/>
      <c r="VMH62" s="10"/>
      <c r="VMI62" s="10"/>
      <c r="VMJ62" s="10"/>
      <c r="VMK62" s="10"/>
      <c r="VML62" s="10"/>
      <c r="VMM62" s="10"/>
      <c r="VMN62" s="10"/>
      <c r="VMO62" s="10"/>
      <c r="VMP62" s="10"/>
      <c r="VMQ62" s="10"/>
      <c r="VMR62" s="10"/>
      <c r="VMS62" s="10"/>
      <c r="VMT62" s="10"/>
      <c r="VMU62" s="10"/>
      <c r="VMV62" s="10"/>
      <c r="VMW62" s="10"/>
      <c r="VMX62" s="10"/>
      <c r="VMY62" s="10"/>
      <c r="VMZ62" s="10"/>
      <c r="VNA62" s="10"/>
      <c r="VNB62" s="10"/>
      <c r="VNC62" s="10"/>
      <c r="VND62" s="10"/>
      <c r="VNE62" s="10"/>
      <c r="VNF62" s="10"/>
      <c r="VNG62" s="10"/>
      <c r="VNH62" s="10"/>
      <c r="VNI62" s="10"/>
      <c r="VNJ62" s="10"/>
      <c r="VNK62" s="10"/>
      <c r="VNL62" s="10"/>
      <c r="VNM62" s="10"/>
      <c r="VNN62" s="10"/>
      <c r="VNO62" s="10"/>
      <c r="VNP62" s="10"/>
      <c r="VNQ62" s="10"/>
      <c r="VNR62" s="10"/>
      <c r="VNS62" s="10"/>
      <c r="VNT62" s="10"/>
      <c r="VNU62" s="10"/>
      <c r="VNV62" s="10"/>
      <c r="VNW62" s="10"/>
      <c r="VNX62" s="10"/>
      <c r="VNY62" s="10"/>
      <c r="VNZ62" s="10"/>
      <c r="VOA62" s="10"/>
      <c r="VOB62" s="10"/>
      <c r="VOC62" s="10"/>
      <c r="VOD62" s="10"/>
      <c r="VOE62" s="10"/>
      <c r="VOF62" s="10"/>
      <c r="VOG62" s="10"/>
      <c r="VOH62" s="10"/>
      <c r="VOI62" s="10"/>
      <c r="VOJ62" s="10"/>
      <c r="VOK62" s="10"/>
      <c r="VOL62" s="10"/>
      <c r="VOM62" s="10"/>
      <c r="VON62" s="10"/>
      <c r="VOO62" s="10"/>
      <c r="VOP62" s="10"/>
      <c r="VOQ62" s="10"/>
      <c r="VOR62" s="10"/>
      <c r="VOS62" s="10"/>
      <c r="VOT62" s="10"/>
      <c r="VOU62" s="10"/>
      <c r="VOV62" s="10"/>
      <c r="VOW62" s="10"/>
      <c r="VOX62" s="10"/>
      <c r="VOY62" s="10"/>
      <c r="VOZ62" s="10"/>
      <c r="VPA62" s="10"/>
      <c r="VPB62" s="10"/>
      <c r="VPC62" s="10"/>
      <c r="VPD62" s="10"/>
      <c r="VPE62" s="10"/>
      <c r="VPF62" s="10"/>
      <c r="VPG62" s="10"/>
      <c r="VPH62" s="10"/>
      <c r="VPI62" s="10"/>
      <c r="VPJ62" s="10"/>
      <c r="VPK62" s="10"/>
      <c r="VPL62" s="10"/>
      <c r="VPM62" s="10"/>
      <c r="VPN62" s="10"/>
      <c r="VPO62" s="10"/>
      <c r="VPP62" s="10"/>
      <c r="VPQ62" s="10"/>
      <c r="VPR62" s="10"/>
      <c r="VPS62" s="10"/>
      <c r="VPT62" s="10"/>
      <c r="VPU62" s="10"/>
      <c r="VPV62" s="10"/>
      <c r="VPW62" s="10"/>
      <c r="VPX62" s="10"/>
      <c r="VPY62" s="10"/>
      <c r="VPZ62" s="10"/>
      <c r="VQA62" s="10"/>
      <c r="VQB62" s="10"/>
      <c r="VQC62" s="10"/>
      <c r="VQD62" s="10"/>
      <c r="VQE62" s="10"/>
      <c r="VQF62" s="10"/>
      <c r="VQG62" s="10"/>
      <c r="VQH62" s="10"/>
      <c r="VQI62" s="10"/>
      <c r="VQJ62" s="10"/>
      <c r="VQK62" s="10"/>
      <c r="VQL62" s="10"/>
      <c r="VQM62" s="10"/>
      <c r="VQN62" s="10"/>
      <c r="VQO62" s="10"/>
      <c r="VQP62" s="10"/>
      <c r="VQQ62" s="10"/>
      <c r="VQR62" s="10"/>
      <c r="VQS62" s="10"/>
      <c r="VQT62" s="10"/>
      <c r="VQU62" s="10"/>
      <c r="VQV62" s="10"/>
      <c r="VQW62" s="10"/>
      <c r="VQX62" s="10"/>
      <c r="VQY62" s="10"/>
      <c r="VQZ62" s="10"/>
      <c r="VRA62" s="10"/>
      <c r="VRB62" s="10"/>
      <c r="VRC62" s="10"/>
      <c r="VRD62" s="10"/>
      <c r="VRE62" s="10"/>
      <c r="VRF62" s="10"/>
      <c r="VRG62" s="10"/>
      <c r="VRH62" s="10"/>
      <c r="VRI62" s="10"/>
      <c r="VRJ62" s="10"/>
      <c r="VRK62" s="10"/>
      <c r="VRL62" s="10"/>
      <c r="VRM62" s="10"/>
      <c r="VRN62" s="10"/>
      <c r="VRO62" s="10"/>
      <c r="VRP62" s="10"/>
      <c r="VRQ62" s="10"/>
      <c r="VRR62" s="10"/>
      <c r="VRS62" s="10"/>
      <c r="VRT62" s="10"/>
      <c r="VRU62" s="10"/>
      <c r="VRV62" s="10"/>
      <c r="VRW62" s="10"/>
      <c r="VRX62" s="10"/>
      <c r="VRY62" s="10"/>
      <c r="VRZ62" s="10"/>
      <c r="VSA62" s="10"/>
      <c r="VSB62" s="10"/>
      <c r="VSC62" s="10"/>
      <c r="VSD62" s="10"/>
      <c r="VSE62" s="10"/>
      <c r="VSF62" s="10"/>
      <c r="VSG62" s="10"/>
      <c r="VSH62" s="10"/>
      <c r="VSI62" s="10"/>
      <c r="VSJ62" s="10"/>
      <c r="VSK62" s="10"/>
      <c r="VSL62" s="10"/>
      <c r="VSM62" s="10"/>
      <c r="VSN62" s="10"/>
      <c r="VSO62" s="10"/>
      <c r="VSP62" s="10"/>
      <c r="VSQ62" s="10"/>
      <c r="VSR62" s="10"/>
      <c r="VSS62" s="10"/>
      <c r="VST62" s="10"/>
      <c r="VSU62" s="10"/>
      <c r="VSV62" s="10"/>
      <c r="VSW62" s="10"/>
      <c r="VSX62" s="10"/>
      <c r="VSY62" s="10"/>
      <c r="VSZ62" s="10"/>
      <c r="VTA62" s="10"/>
      <c r="VTB62" s="10"/>
      <c r="VTC62" s="10"/>
      <c r="VTD62" s="10"/>
      <c r="VTE62" s="10"/>
      <c r="VTF62" s="10"/>
      <c r="VTG62" s="10"/>
      <c r="VTH62" s="10"/>
      <c r="VTI62" s="10"/>
      <c r="VTJ62" s="10"/>
      <c r="VTK62" s="10"/>
      <c r="VTL62" s="10"/>
      <c r="VTM62" s="10"/>
      <c r="VTN62" s="10"/>
      <c r="VTO62" s="10"/>
      <c r="VTP62" s="10"/>
      <c r="VTQ62" s="10"/>
      <c r="VTR62" s="10"/>
      <c r="VTS62" s="10"/>
      <c r="VTT62" s="10"/>
      <c r="VTU62" s="10"/>
      <c r="VTV62" s="10"/>
      <c r="VTW62" s="10"/>
      <c r="VTX62" s="10"/>
      <c r="VTY62" s="10"/>
      <c r="VTZ62" s="10"/>
      <c r="VUA62" s="10"/>
      <c r="VUB62" s="10"/>
      <c r="VUC62" s="10"/>
      <c r="VUD62" s="10"/>
      <c r="VUE62" s="10"/>
      <c r="VUF62" s="10"/>
      <c r="VUG62" s="10"/>
      <c r="VUH62" s="10"/>
      <c r="VUI62" s="10"/>
      <c r="VUJ62" s="10"/>
      <c r="VUK62" s="10"/>
      <c r="VUL62" s="10"/>
      <c r="VUM62" s="10"/>
      <c r="VUN62" s="10"/>
      <c r="VUO62" s="10"/>
      <c r="VUP62" s="10"/>
      <c r="VUQ62" s="10"/>
      <c r="VUR62" s="10"/>
      <c r="VUS62" s="10"/>
      <c r="VUT62" s="10"/>
      <c r="VUU62" s="10"/>
      <c r="VUV62" s="10"/>
      <c r="VUW62" s="10"/>
      <c r="VUX62" s="10"/>
      <c r="VUY62" s="10"/>
      <c r="VUZ62" s="10"/>
      <c r="VVA62" s="10"/>
      <c r="VVB62" s="10"/>
      <c r="VVC62" s="10"/>
      <c r="VVD62" s="10"/>
      <c r="VVE62" s="10"/>
      <c r="VVF62" s="10"/>
      <c r="VVG62" s="10"/>
      <c r="VVH62" s="10"/>
      <c r="VVI62" s="10"/>
      <c r="VVJ62" s="10"/>
      <c r="VVK62" s="10"/>
      <c r="VVL62" s="10"/>
      <c r="VVM62" s="10"/>
      <c r="VVN62" s="10"/>
      <c r="VVO62" s="10"/>
      <c r="VVP62" s="10"/>
      <c r="VVQ62" s="10"/>
      <c r="VVR62" s="10"/>
      <c r="VVS62" s="10"/>
      <c r="VVT62" s="10"/>
      <c r="VVU62" s="10"/>
      <c r="VVV62" s="10"/>
      <c r="VVW62" s="10"/>
      <c r="VVX62" s="10"/>
      <c r="VVY62" s="10"/>
      <c r="VVZ62" s="10"/>
      <c r="VWA62" s="10"/>
      <c r="VWB62" s="10"/>
      <c r="VWC62" s="10"/>
      <c r="VWD62" s="10"/>
      <c r="VWE62" s="10"/>
      <c r="VWF62" s="10"/>
      <c r="VWG62" s="10"/>
      <c r="VWH62" s="10"/>
      <c r="VWI62" s="10"/>
      <c r="VWJ62" s="10"/>
      <c r="VWK62" s="10"/>
      <c r="VWL62" s="10"/>
      <c r="VWM62" s="10"/>
      <c r="VWN62" s="10"/>
      <c r="VWO62" s="10"/>
      <c r="VWP62" s="10"/>
      <c r="VWQ62" s="10"/>
      <c r="VWR62" s="10"/>
      <c r="VWS62" s="10"/>
      <c r="VWT62" s="10"/>
      <c r="VWU62" s="10"/>
      <c r="VWV62" s="10"/>
      <c r="VWW62" s="10"/>
      <c r="VWX62" s="10"/>
      <c r="VWY62" s="10"/>
      <c r="VWZ62" s="10"/>
      <c r="VXA62" s="10"/>
      <c r="VXB62" s="10"/>
      <c r="VXC62" s="10"/>
      <c r="VXD62" s="10"/>
      <c r="VXE62" s="10"/>
      <c r="VXF62" s="10"/>
      <c r="VXG62" s="10"/>
      <c r="VXH62" s="10"/>
      <c r="VXI62" s="10"/>
      <c r="VXJ62" s="10"/>
      <c r="VXK62" s="10"/>
      <c r="VXL62" s="10"/>
      <c r="VXM62" s="10"/>
      <c r="VXN62" s="10"/>
      <c r="VXO62" s="10"/>
      <c r="VXP62" s="10"/>
      <c r="VXQ62" s="10"/>
      <c r="VXR62" s="10"/>
      <c r="VXS62" s="10"/>
      <c r="VXT62" s="10"/>
      <c r="VXU62" s="10"/>
      <c r="VXV62" s="10"/>
      <c r="VXW62" s="10"/>
      <c r="VXX62" s="10"/>
      <c r="VXY62" s="10"/>
      <c r="VXZ62" s="10"/>
      <c r="VYA62" s="10"/>
      <c r="VYB62" s="10"/>
      <c r="VYC62" s="10"/>
      <c r="VYD62" s="10"/>
      <c r="VYE62" s="10"/>
      <c r="VYF62" s="10"/>
      <c r="VYG62" s="10"/>
      <c r="VYH62" s="10"/>
      <c r="VYI62" s="10"/>
      <c r="VYJ62" s="10"/>
      <c r="VYK62" s="10"/>
      <c r="VYL62" s="10"/>
      <c r="VYM62" s="10"/>
      <c r="VYN62" s="10"/>
      <c r="VYO62" s="10"/>
      <c r="VYP62" s="10"/>
      <c r="VYQ62" s="10"/>
      <c r="VYR62" s="10"/>
      <c r="VYS62" s="10"/>
      <c r="VYT62" s="10"/>
      <c r="VYU62" s="10"/>
      <c r="VYV62" s="10"/>
      <c r="VYW62" s="10"/>
      <c r="VYX62" s="10"/>
      <c r="VYY62" s="10"/>
      <c r="VYZ62" s="10"/>
      <c r="VZA62" s="10"/>
      <c r="VZB62" s="10"/>
      <c r="VZC62" s="10"/>
      <c r="VZD62" s="10"/>
      <c r="VZE62" s="10"/>
      <c r="VZF62" s="10"/>
      <c r="VZG62" s="10"/>
      <c r="VZH62" s="10"/>
      <c r="VZI62" s="10"/>
      <c r="VZJ62" s="10"/>
      <c r="VZK62" s="10"/>
      <c r="VZL62" s="10"/>
      <c r="VZM62" s="10"/>
      <c r="VZN62" s="10"/>
      <c r="VZO62" s="10"/>
      <c r="VZP62" s="10"/>
      <c r="VZQ62" s="10"/>
      <c r="VZR62" s="10"/>
      <c r="VZS62" s="10"/>
      <c r="VZT62" s="10"/>
      <c r="VZU62" s="10"/>
      <c r="VZV62" s="10"/>
      <c r="VZW62" s="10"/>
      <c r="VZX62" s="10"/>
      <c r="VZY62" s="10"/>
      <c r="VZZ62" s="10"/>
      <c r="WAA62" s="10"/>
      <c r="WAB62" s="10"/>
      <c r="WAC62" s="10"/>
      <c r="WAD62" s="10"/>
      <c r="WAE62" s="10"/>
      <c r="WAF62" s="10"/>
      <c r="WAG62" s="10"/>
      <c r="WAH62" s="10"/>
      <c r="WAI62" s="10"/>
      <c r="WAJ62" s="10"/>
      <c r="WAK62" s="10"/>
      <c r="WAL62" s="10"/>
      <c r="WAM62" s="10"/>
      <c r="WAN62" s="10"/>
      <c r="WAO62" s="10"/>
      <c r="WAP62" s="10"/>
      <c r="WAQ62" s="10"/>
      <c r="WAR62" s="10"/>
      <c r="WAS62" s="10"/>
      <c r="WAT62" s="10"/>
      <c r="WAU62" s="10"/>
      <c r="WAV62" s="10"/>
      <c r="WAW62" s="10"/>
      <c r="WAX62" s="10"/>
      <c r="WAY62" s="10"/>
      <c r="WAZ62" s="10"/>
      <c r="WBA62" s="10"/>
      <c r="WBB62" s="10"/>
      <c r="WBC62" s="10"/>
      <c r="WBD62" s="10"/>
      <c r="WBE62" s="10"/>
      <c r="WBF62" s="10"/>
      <c r="WBG62" s="10"/>
      <c r="WBH62" s="10"/>
      <c r="WBI62" s="10"/>
      <c r="WBJ62" s="10"/>
      <c r="WBK62" s="10"/>
      <c r="WBL62" s="10"/>
      <c r="WBM62" s="10"/>
      <c r="WBN62" s="10"/>
      <c r="WBO62" s="10"/>
      <c r="WBP62" s="10"/>
      <c r="WBQ62" s="10"/>
      <c r="WBR62" s="10"/>
      <c r="WBS62" s="10"/>
      <c r="WBT62" s="10"/>
      <c r="WBU62" s="10"/>
      <c r="WBV62" s="10"/>
      <c r="WBW62" s="10"/>
      <c r="WBX62" s="10"/>
      <c r="WBY62" s="10"/>
      <c r="WBZ62" s="10"/>
      <c r="WCA62" s="10"/>
      <c r="WCB62" s="10"/>
      <c r="WCC62" s="10"/>
      <c r="WCD62" s="10"/>
      <c r="WCE62" s="10"/>
      <c r="WCF62" s="10"/>
      <c r="WCG62" s="10"/>
      <c r="WCH62" s="10"/>
      <c r="WCI62" s="10"/>
      <c r="WCJ62" s="10"/>
      <c r="WCK62" s="10"/>
      <c r="WCL62" s="10"/>
      <c r="WCM62" s="10"/>
      <c r="WCN62" s="10"/>
      <c r="WCO62" s="10"/>
      <c r="WCP62" s="10"/>
      <c r="WCQ62" s="10"/>
      <c r="WCR62" s="10"/>
      <c r="WCS62" s="10"/>
      <c r="WCT62" s="10"/>
      <c r="WCU62" s="10"/>
      <c r="WCV62" s="10"/>
      <c r="WCW62" s="10"/>
      <c r="WCX62" s="10"/>
      <c r="WCY62" s="10"/>
      <c r="WCZ62" s="10"/>
      <c r="WDA62" s="10"/>
      <c r="WDB62" s="10"/>
      <c r="WDC62" s="10"/>
      <c r="WDD62" s="10"/>
      <c r="WDE62" s="10"/>
      <c r="WDF62" s="10"/>
      <c r="WDG62" s="10"/>
      <c r="WDH62" s="10"/>
      <c r="WDI62" s="10"/>
      <c r="WDJ62" s="10"/>
      <c r="WDK62" s="10"/>
      <c r="WDL62" s="10"/>
      <c r="WDM62" s="10"/>
      <c r="WDN62" s="10"/>
      <c r="WDO62" s="10"/>
      <c r="WDP62" s="10"/>
      <c r="WDQ62" s="10"/>
      <c r="WDR62" s="10"/>
      <c r="WDS62" s="10"/>
      <c r="WDT62" s="10"/>
      <c r="WDU62" s="10"/>
      <c r="WDV62" s="10"/>
      <c r="WDW62" s="10"/>
      <c r="WDX62" s="10"/>
      <c r="WDY62" s="10"/>
      <c r="WDZ62" s="10"/>
      <c r="WEA62" s="10"/>
      <c r="WEB62" s="10"/>
      <c r="WEC62" s="10"/>
      <c r="WED62" s="10"/>
      <c r="WEE62" s="10"/>
      <c r="WEF62" s="10"/>
      <c r="WEG62" s="10"/>
      <c r="WEH62" s="10"/>
      <c r="WEI62" s="10"/>
      <c r="WEJ62" s="10"/>
      <c r="WEK62" s="10"/>
      <c r="WEL62" s="10"/>
      <c r="WEM62" s="10"/>
      <c r="WEN62" s="10"/>
      <c r="WEO62" s="10"/>
      <c r="WEP62" s="10"/>
      <c r="WEQ62" s="10"/>
      <c r="WER62" s="10"/>
      <c r="WES62" s="10"/>
      <c r="WET62" s="10"/>
      <c r="WEU62" s="10"/>
      <c r="WEV62" s="10"/>
      <c r="WEW62" s="10"/>
      <c r="WEX62" s="10"/>
      <c r="WEY62" s="10"/>
      <c r="WEZ62" s="10"/>
      <c r="WFA62" s="10"/>
      <c r="WFB62" s="10"/>
      <c r="WFC62" s="10"/>
      <c r="WFD62" s="10"/>
      <c r="WFE62" s="10"/>
      <c r="WFF62" s="10"/>
      <c r="WFG62" s="10"/>
      <c r="WFH62" s="10"/>
      <c r="WFI62" s="10"/>
      <c r="WFJ62" s="10"/>
      <c r="WFK62" s="10"/>
      <c r="WFL62" s="10"/>
      <c r="WFM62" s="10"/>
      <c r="WFN62" s="10"/>
      <c r="WFO62" s="10"/>
      <c r="WFP62" s="10"/>
      <c r="WFQ62" s="10"/>
      <c r="WFR62" s="10"/>
      <c r="WFS62" s="10"/>
      <c r="WFT62" s="10"/>
      <c r="WFU62" s="10"/>
      <c r="WFV62" s="10"/>
      <c r="WFW62" s="10"/>
      <c r="WFX62" s="10"/>
      <c r="WFY62" s="10"/>
      <c r="WFZ62" s="10"/>
      <c r="WGA62" s="10"/>
      <c r="WGB62" s="10"/>
      <c r="WGC62" s="10"/>
      <c r="WGD62" s="10"/>
      <c r="WGE62" s="10"/>
      <c r="WGF62" s="10"/>
      <c r="WGG62" s="10"/>
      <c r="WGH62" s="10"/>
      <c r="WGI62" s="10"/>
      <c r="WGJ62" s="10"/>
      <c r="WGK62" s="10"/>
      <c r="WGL62" s="10"/>
      <c r="WGM62" s="10"/>
      <c r="WGN62" s="10"/>
      <c r="WGO62" s="10"/>
      <c r="WGP62" s="10"/>
      <c r="WGQ62" s="10"/>
      <c r="WGR62" s="10"/>
      <c r="WGS62" s="10"/>
      <c r="WGT62" s="10"/>
      <c r="WGU62" s="10"/>
      <c r="WGV62" s="10"/>
      <c r="WGW62" s="10"/>
      <c r="WGX62" s="10"/>
      <c r="WGY62" s="10"/>
      <c r="WGZ62" s="10"/>
      <c r="WHA62" s="10"/>
      <c r="WHB62" s="10"/>
      <c r="WHC62" s="10"/>
      <c r="WHD62" s="10"/>
      <c r="WHE62" s="10"/>
      <c r="WHF62" s="10"/>
      <c r="WHG62" s="10"/>
      <c r="WHH62" s="10"/>
      <c r="WHI62" s="10"/>
      <c r="WHJ62" s="10"/>
      <c r="WHK62" s="10"/>
      <c r="WHL62" s="10"/>
      <c r="WHM62" s="10"/>
      <c r="WHN62" s="10"/>
      <c r="WHO62" s="10"/>
      <c r="WHP62" s="10"/>
      <c r="WHQ62" s="10"/>
      <c r="WHR62" s="10"/>
      <c r="WHS62" s="10"/>
      <c r="WHT62" s="10"/>
      <c r="WHU62" s="10"/>
      <c r="WHV62" s="10"/>
      <c r="WHW62" s="10"/>
      <c r="WHX62" s="10"/>
      <c r="WHY62" s="10"/>
      <c r="WHZ62" s="10"/>
      <c r="WIA62" s="10"/>
      <c r="WIB62" s="10"/>
      <c r="WIC62" s="10"/>
      <c r="WID62" s="10"/>
      <c r="WIE62" s="10"/>
      <c r="WIF62" s="10"/>
      <c r="WIG62" s="10"/>
      <c r="WIH62" s="10"/>
      <c r="WII62" s="10"/>
      <c r="WIJ62" s="10"/>
      <c r="WIK62" s="10"/>
      <c r="WIL62" s="10"/>
      <c r="WIM62" s="10"/>
      <c r="WIN62" s="10"/>
      <c r="WIO62" s="10"/>
      <c r="WIP62" s="10"/>
      <c r="WIQ62" s="10"/>
      <c r="WIR62" s="10"/>
      <c r="WIS62" s="10"/>
      <c r="WIT62" s="10"/>
      <c r="WIU62" s="10"/>
      <c r="WIV62" s="10"/>
      <c r="WIW62" s="10"/>
      <c r="WIX62" s="10"/>
      <c r="WIY62" s="10"/>
      <c r="WIZ62" s="10"/>
      <c r="WJA62" s="10"/>
      <c r="WJB62" s="10"/>
      <c r="WJC62" s="10"/>
      <c r="WJD62" s="10"/>
      <c r="WJE62" s="10"/>
      <c r="WJF62" s="10"/>
      <c r="WJG62" s="10"/>
      <c r="WJH62" s="10"/>
      <c r="WJI62" s="10"/>
      <c r="WJJ62" s="10"/>
      <c r="WJK62" s="10"/>
      <c r="WJL62" s="10"/>
      <c r="WJM62" s="10"/>
      <c r="WJN62" s="10"/>
      <c r="WJO62" s="10"/>
      <c r="WJP62" s="10"/>
      <c r="WJQ62" s="10"/>
      <c r="WJR62" s="10"/>
      <c r="WJS62" s="10"/>
      <c r="WJT62" s="10"/>
      <c r="WJU62" s="10"/>
      <c r="WJV62" s="10"/>
      <c r="WJW62" s="10"/>
      <c r="WJX62" s="10"/>
      <c r="WJY62" s="10"/>
      <c r="WJZ62" s="10"/>
      <c r="WKA62" s="10"/>
      <c r="WKB62" s="10"/>
      <c r="WKC62" s="10"/>
      <c r="WKD62" s="10"/>
      <c r="WKE62" s="10"/>
      <c r="WKF62" s="10"/>
      <c r="WKG62" s="10"/>
      <c r="WKH62" s="10"/>
      <c r="WKI62" s="10"/>
      <c r="WKJ62" s="10"/>
      <c r="WKK62" s="10"/>
      <c r="WKL62" s="10"/>
      <c r="WKM62" s="10"/>
      <c r="WKN62" s="10"/>
      <c r="WKO62" s="10"/>
      <c r="WKP62" s="10"/>
      <c r="WKQ62" s="10"/>
      <c r="WKR62" s="10"/>
      <c r="WKS62" s="10"/>
      <c r="WKT62" s="10"/>
      <c r="WKU62" s="10"/>
      <c r="WKV62" s="10"/>
      <c r="WKW62" s="10"/>
      <c r="WKX62" s="10"/>
      <c r="WKY62" s="10"/>
      <c r="WKZ62" s="10"/>
      <c r="WLA62" s="10"/>
      <c r="WLB62" s="10"/>
      <c r="WLC62" s="10"/>
      <c r="WLD62" s="10"/>
      <c r="WLE62" s="10"/>
      <c r="WLF62" s="10"/>
      <c r="WLG62" s="10"/>
      <c r="WLH62" s="10"/>
      <c r="WLI62" s="10"/>
      <c r="WLJ62" s="10"/>
      <c r="WLK62" s="10"/>
      <c r="WLL62" s="10"/>
      <c r="WLM62" s="10"/>
      <c r="WLN62" s="10"/>
      <c r="WLO62" s="10"/>
      <c r="WLP62" s="10"/>
      <c r="WLQ62" s="10"/>
      <c r="WLR62" s="10"/>
      <c r="WLS62" s="10"/>
      <c r="WLT62" s="10"/>
      <c r="WLU62" s="10"/>
      <c r="WLV62" s="10"/>
      <c r="WLW62" s="10"/>
      <c r="WLX62" s="10"/>
      <c r="WLY62" s="10"/>
      <c r="WLZ62" s="10"/>
      <c r="WMA62" s="10"/>
      <c r="WMB62" s="10"/>
      <c r="WMC62" s="10"/>
      <c r="WMD62" s="10"/>
      <c r="WME62" s="10"/>
      <c r="WMF62" s="10"/>
      <c r="WMG62" s="10"/>
      <c r="WMH62" s="10"/>
      <c r="WMI62" s="10"/>
      <c r="WMJ62" s="10"/>
      <c r="WMK62" s="10"/>
      <c r="WML62" s="10"/>
      <c r="WMM62" s="10"/>
      <c r="WMN62" s="10"/>
      <c r="WMO62" s="10"/>
      <c r="WMP62" s="10"/>
      <c r="WMQ62" s="10"/>
      <c r="WMR62" s="10"/>
      <c r="WMS62" s="10"/>
      <c r="WMT62" s="10"/>
      <c r="WMU62" s="10"/>
      <c r="WMV62" s="10"/>
      <c r="WMW62" s="10"/>
      <c r="WMX62" s="10"/>
      <c r="WMY62" s="10"/>
      <c r="WMZ62" s="10"/>
      <c r="WNA62" s="10"/>
      <c r="WNB62" s="10"/>
      <c r="WNC62" s="10"/>
      <c r="WND62" s="10"/>
      <c r="WNE62" s="10"/>
      <c r="WNF62" s="10"/>
      <c r="WNG62" s="10"/>
      <c r="WNH62" s="10"/>
      <c r="WNI62" s="10"/>
      <c r="WNJ62" s="10"/>
      <c r="WNK62" s="10"/>
      <c r="WNL62" s="10"/>
      <c r="WNM62" s="10"/>
      <c r="WNN62" s="10"/>
      <c r="WNO62" s="10"/>
      <c r="WNP62" s="10"/>
      <c r="WNQ62" s="10"/>
      <c r="WNR62" s="10"/>
      <c r="WNS62" s="10"/>
      <c r="WNT62" s="10"/>
      <c r="WNU62" s="10"/>
      <c r="WNV62" s="10"/>
      <c r="WNW62" s="10"/>
      <c r="WNX62" s="10"/>
      <c r="WNY62" s="10"/>
      <c r="WNZ62" s="10"/>
      <c r="WOA62" s="10"/>
      <c r="WOB62" s="10"/>
      <c r="WOC62" s="10"/>
      <c r="WOD62" s="10"/>
      <c r="WOE62" s="10"/>
      <c r="WOF62" s="10"/>
      <c r="WOG62" s="10"/>
      <c r="WOH62" s="10"/>
      <c r="WOI62" s="10"/>
      <c r="WOJ62" s="10"/>
      <c r="WOK62" s="10"/>
      <c r="WOL62" s="10"/>
      <c r="WOM62" s="10"/>
      <c r="WON62" s="10"/>
      <c r="WOO62" s="10"/>
      <c r="WOP62" s="10"/>
      <c r="WOQ62" s="10"/>
      <c r="WOR62" s="10"/>
      <c r="WOS62" s="10"/>
      <c r="WOT62" s="10"/>
      <c r="WOU62" s="10"/>
      <c r="WOV62" s="10"/>
      <c r="WOW62" s="10"/>
      <c r="WOX62" s="10"/>
      <c r="WOY62" s="10"/>
      <c r="WOZ62" s="10"/>
      <c r="WPA62" s="10"/>
      <c r="WPB62" s="10"/>
      <c r="WPC62" s="10"/>
      <c r="WPD62" s="10"/>
      <c r="WPE62" s="10"/>
      <c r="WPF62" s="10"/>
      <c r="WPG62" s="10"/>
      <c r="WPH62" s="10"/>
      <c r="WPI62" s="10"/>
      <c r="WPJ62" s="10"/>
      <c r="WPK62" s="10"/>
      <c r="WPL62" s="10"/>
      <c r="WPM62" s="10"/>
      <c r="WPN62" s="10"/>
      <c r="WPO62" s="10"/>
      <c r="WPP62" s="10"/>
      <c r="WPQ62" s="10"/>
      <c r="WPR62" s="10"/>
      <c r="WPS62" s="10"/>
      <c r="WPT62" s="10"/>
      <c r="WPU62" s="10"/>
      <c r="WPV62" s="10"/>
      <c r="WPW62" s="10"/>
      <c r="WPX62" s="10"/>
      <c r="WPY62" s="10"/>
      <c r="WPZ62" s="10"/>
      <c r="WQA62" s="10"/>
      <c r="WQB62" s="10"/>
      <c r="WQC62" s="10"/>
      <c r="WQD62" s="10"/>
      <c r="WQE62" s="10"/>
      <c r="WQF62" s="10"/>
      <c r="WQG62" s="10"/>
      <c r="WQH62" s="10"/>
      <c r="WQI62" s="10"/>
      <c r="WQJ62" s="10"/>
      <c r="WQK62" s="10"/>
      <c r="WQL62" s="10"/>
      <c r="WQM62" s="10"/>
      <c r="WQN62" s="10"/>
      <c r="WQO62" s="10"/>
      <c r="WQP62" s="10"/>
      <c r="WQQ62" s="10"/>
      <c r="WQR62" s="10"/>
      <c r="WQS62" s="10"/>
      <c r="WQT62" s="10"/>
      <c r="WQU62" s="10"/>
      <c r="WQV62" s="10"/>
      <c r="WQW62" s="10"/>
      <c r="WQX62" s="10"/>
      <c r="WQY62" s="10"/>
      <c r="WQZ62" s="10"/>
      <c r="WRA62" s="10"/>
      <c r="WRB62" s="10"/>
      <c r="WRC62" s="10"/>
      <c r="WRD62" s="10"/>
      <c r="WRE62" s="10"/>
      <c r="WRF62" s="10"/>
      <c r="WRG62" s="10"/>
      <c r="WRH62" s="10"/>
      <c r="WRI62" s="10"/>
      <c r="WRJ62" s="10"/>
      <c r="WRK62" s="10"/>
      <c r="WRL62" s="10"/>
      <c r="WRM62" s="10"/>
      <c r="WRN62" s="10"/>
      <c r="WRO62" s="10"/>
      <c r="WRP62" s="10"/>
      <c r="WRQ62" s="10"/>
      <c r="WRR62" s="10"/>
      <c r="WRS62" s="10"/>
      <c r="WRT62" s="10"/>
      <c r="WRU62" s="10"/>
      <c r="WRV62" s="10"/>
      <c r="WRW62" s="10"/>
      <c r="WRX62" s="10"/>
      <c r="WRY62" s="10"/>
      <c r="WRZ62" s="10"/>
      <c r="WSA62" s="10"/>
      <c r="WSB62" s="10"/>
      <c r="WSC62" s="10"/>
      <c r="WSD62" s="10"/>
      <c r="WSE62" s="10"/>
      <c r="WSF62" s="10"/>
      <c r="WSG62" s="10"/>
      <c r="WSH62" s="10"/>
      <c r="WSI62" s="10"/>
      <c r="WSJ62" s="10"/>
      <c r="WSK62" s="10"/>
      <c r="WSL62" s="10"/>
      <c r="WSM62" s="10"/>
      <c r="WSN62" s="10"/>
      <c r="WSO62" s="10"/>
      <c r="WSP62" s="10"/>
      <c r="WSQ62" s="10"/>
      <c r="WSR62" s="10"/>
      <c r="WSS62" s="10"/>
      <c r="WST62" s="10"/>
      <c r="WSU62" s="10"/>
      <c r="WSV62" s="10"/>
      <c r="WSW62" s="10"/>
      <c r="WSX62" s="10"/>
      <c r="WSY62" s="10"/>
      <c r="WSZ62" s="10"/>
      <c r="WTA62" s="10"/>
      <c r="WTB62" s="10"/>
      <c r="WTC62" s="10"/>
      <c r="WTD62" s="10"/>
      <c r="WTE62" s="10"/>
      <c r="WTF62" s="10"/>
      <c r="WTG62" s="10"/>
      <c r="WTH62" s="10"/>
      <c r="WTI62" s="10"/>
      <c r="WTJ62" s="10"/>
      <c r="WTK62" s="10"/>
      <c r="WTL62" s="10"/>
      <c r="WTM62" s="10"/>
      <c r="WTN62" s="10"/>
      <c r="WTO62" s="10"/>
      <c r="WTP62" s="10"/>
      <c r="WTQ62" s="10"/>
      <c r="WTR62" s="10"/>
      <c r="WTS62" s="10"/>
      <c r="WTT62" s="10"/>
      <c r="WTU62" s="10"/>
      <c r="WTV62" s="10"/>
      <c r="WTW62" s="10"/>
      <c r="WTX62" s="10"/>
      <c r="WTY62" s="10"/>
      <c r="WTZ62" s="10"/>
      <c r="WUA62" s="10"/>
      <c r="WUB62" s="10"/>
      <c r="WUC62" s="10"/>
      <c r="WUD62" s="10"/>
      <c r="WUE62" s="10"/>
      <c r="WUF62" s="10"/>
      <c r="WUG62" s="10"/>
      <c r="WUH62" s="10"/>
      <c r="WUI62" s="10"/>
      <c r="WUJ62" s="10"/>
      <c r="WUK62" s="10"/>
      <c r="WUL62" s="10"/>
      <c r="WUM62" s="10"/>
      <c r="WUN62" s="10"/>
      <c r="WUO62" s="10"/>
      <c r="WUP62" s="10"/>
      <c r="WUQ62" s="10"/>
      <c r="WUR62" s="10"/>
      <c r="WUS62" s="10"/>
      <c r="WUT62" s="10"/>
      <c r="WUU62" s="10"/>
      <c r="WUV62" s="10"/>
      <c r="WUW62" s="10"/>
      <c r="WUX62" s="10"/>
      <c r="WUY62" s="10"/>
      <c r="WUZ62" s="10"/>
      <c r="WVA62" s="10"/>
      <c r="WVB62" s="10"/>
      <c r="WVC62" s="10"/>
      <c r="WVD62" s="10"/>
      <c r="WVE62" s="10"/>
      <c r="WVF62" s="10"/>
      <c r="WVG62" s="10"/>
      <c r="WVH62" s="10"/>
      <c r="WVI62" s="10"/>
      <c r="WVJ62" s="10"/>
      <c r="WVK62" s="10"/>
      <c r="WVL62" s="10"/>
      <c r="WVM62" s="10"/>
      <c r="WVN62" s="10"/>
      <c r="WVO62" s="10"/>
      <c r="WVP62" s="10"/>
      <c r="WVQ62" s="10"/>
      <c r="WVR62" s="10"/>
      <c r="WVS62" s="10"/>
      <c r="WVT62" s="10"/>
      <c r="WVU62" s="10"/>
      <c r="WVV62" s="10"/>
      <c r="WVW62" s="10"/>
      <c r="WVX62" s="10"/>
      <c r="WVY62" s="10"/>
      <c r="WVZ62" s="10"/>
      <c r="WWA62" s="10"/>
      <c r="WWB62" s="10"/>
      <c r="WWC62" s="10"/>
      <c r="WWD62" s="10"/>
      <c r="WWE62" s="10"/>
      <c r="WWF62" s="10"/>
      <c r="WWG62" s="10"/>
      <c r="WWH62" s="10"/>
      <c r="WWI62" s="10"/>
      <c r="WWJ62" s="10"/>
      <c r="WWK62" s="10"/>
      <c r="WWL62" s="10"/>
      <c r="WWM62" s="10"/>
      <c r="WWN62" s="10"/>
      <c r="WWO62" s="10"/>
      <c r="WWP62" s="10"/>
      <c r="WWQ62" s="10"/>
      <c r="WWR62" s="10"/>
      <c r="WWS62" s="10"/>
      <c r="WWT62" s="10"/>
      <c r="WWU62" s="10"/>
      <c r="WWV62" s="10"/>
      <c r="WWW62" s="10"/>
      <c r="WWX62" s="10"/>
      <c r="WWY62" s="10"/>
      <c r="WWZ62" s="10"/>
      <c r="WXA62" s="10"/>
      <c r="WXB62" s="10"/>
      <c r="WXC62" s="10"/>
      <c r="WXD62" s="10"/>
      <c r="WXE62" s="10"/>
      <c r="WXF62" s="10"/>
      <c r="WXG62" s="10"/>
      <c r="WXH62" s="10"/>
      <c r="WXI62" s="10"/>
      <c r="WXJ62" s="10"/>
      <c r="WXK62" s="10"/>
      <c r="WXL62" s="10"/>
      <c r="WXM62" s="10"/>
      <c r="WXN62" s="10"/>
      <c r="WXO62" s="10"/>
      <c r="WXP62" s="10"/>
      <c r="WXQ62" s="10"/>
      <c r="WXR62" s="10"/>
      <c r="WXS62" s="10"/>
      <c r="WXT62" s="10"/>
      <c r="WXU62" s="10"/>
      <c r="WXV62" s="10"/>
      <c r="WXW62" s="10"/>
      <c r="WXX62" s="10"/>
      <c r="WXY62" s="10"/>
      <c r="WXZ62" s="10"/>
      <c r="WYA62" s="10"/>
      <c r="WYB62" s="10"/>
      <c r="WYC62" s="10"/>
      <c r="WYD62" s="10"/>
      <c r="WYE62" s="10"/>
      <c r="WYF62" s="10"/>
      <c r="WYG62" s="10"/>
      <c r="WYH62" s="10"/>
      <c r="WYI62" s="10"/>
      <c r="WYJ62" s="10"/>
      <c r="WYK62" s="10"/>
      <c r="WYL62" s="10"/>
      <c r="WYM62" s="10"/>
      <c r="WYN62" s="10"/>
      <c r="WYO62" s="10"/>
      <c r="WYP62" s="10"/>
      <c r="WYQ62" s="10"/>
      <c r="WYR62" s="10"/>
      <c r="WYS62" s="10"/>
      <c r="WYT62" s="10"/>
      <c r="WYU62" s="10"/>
      <c r="WYV62" s="10"/>
      <c r="WYW62" s="10"/>
      <c r="WYX62" s="10"/>
      <c r="WYY62" s="10"/>
      <c r="WYZ62" s="10"/>
      <c r="WZA62" s="10"/>
      <c r="WZB62" s="10"/>
      <c r="WZC62" s="10"/>
      <c r="WZD62" s="10"/>
      <c r="WZE62" s="10"/>
      <c r="WZF62" s="10"/>
      <c r="WZG62" s="10"/>
      <c r="WZH62" s="10"/>
      <c r="WZI62" s="10"/>
      <c r="WZJ62" s="10"/>
      <c r="WZK62" s="10"/>
      <c r="WZL62" s="10"/>
      <c r="WZM62" s="10"/>
      <c r="WZN62" s="10"/>
      <c r="WZO62" s="10"/>
      <c r="WZP62" s="10"/>
      <c r="WZQ62" s="10"/>
      <c r="WZR62" s="10"/>
      <c r="WZS62" s="10"/>
      <c r="WZT62" s="10"/>
      <c r="WZU62" s="10"/>
      <c r="WZV62" s="10"/>
      <c r="WZW62" s="10"/>
      <c r="WZX62" s="10"/>
      <c r="WZY62" s="10"/>
      <c r="WZZ62" s="10"/>
      <c r="XAA62" s="10"/>
      <c r="XAB62" s="10"/>
      <c r="XAC62" s="10"/>
      <c r="XAD62" s="10"/>
      <c r="XAE62" s="10"/>
      <c r="XAF62" s="10"/>
      <c r="XAG62" s="10"/>
      <c r="XAH62" s="10"/>
      <c r="XAI62" s="10"/>
      <c r="XAJ62" s="10"/>
      <c r="XAK62" s="10"/>
      <c r="XAL62" s="10"/>
      <c r="XAM62" s="10"/>
      <c r="XAN62" s="10"/>
      <c r="XAO62" s="10"/>
      <c r="XAP62" s="10"/>
      <c r="XAQ62" s="10"/>
      <c r="XAR62" s="10"/>
      <c r="XAS62" s="10"/>
      <c r="XAT62" s="10"/>
      <c r="XAU62" s="10"/>
      <c r="XAV62" s="10"/>
      <c r="XAW62" s="10"/>
      <c r="XAX62" s="10"/>
      <c r="XAY62" s="10"/>
      <c r="XAZ62" s="10"/>
      <c r="XBA62" s="10"/>
      <c r="XBB62" s="10"/>
      <c r="XBC62" s="10"/>
      <c r="XBD62" s="10"/>
      <c r="XBE62" s="10"/>
      <c r="XBF62" s="10"/>
      <c r="XBG62" s="10"/>
      <c r="XBH62" s="10"/>
      <c r="XBI62" s="10"/>
      <c r="XBJ62" s="10"/>
      <c r="XBK62" s="10"/>
      <c r="XBL62" s="10"/>
      <c r="XBM62" s="10"/>
      <c r="XBN62" s="10"/>
      <c r="XBO62" s="10"/>
      <c r="XBP62" s="10"/>
      <c r="XBQ62" s="10"/>
      <c r="XBR62" s="10"/>
      <c r="XBS62" s="10"/>
      <c r="XBT62" s="10"/>
      <c r="XBU62" s="10"/>
      <c r="XBV62" s="10"/>
      <c r="XBW62" s="10"/>
      <c r="XBX62" s="10"/>
      <c r="XBY62" s="10"/>
      <c r="XBZ62" s="10"/>
      <c r="XCA62" s="10"/>
      <c r="XCB62" s="10"/>
      <c r="XCC62" s="10"/>
      <c r="XCD62" s="10"/>
      <c r="XCE62" s="10"/>
      <c r="XCF62" s="10"/>
      <c r="XCG62" s="10"/>
      <c r="XCH62" s="10"/>
      <c r="XCI62" s="10"/>
      <c r="XCJ62" s="10"/>
      <c r="XCK62" s="10"/>
      <c r="XCL62" s="10"/>
      <c r="XCM62" s="10"/>
      <c r="XCN62" s="10"/>
      <c r="XCO62" s="10"/>
      <c r="XCP62" s="10"/>
    </row>
    <row r="63" spans="1:16318">
      <c r="A63" s="9"/>
      <c r="B63" s="516"/>
      <c r="C63" s="516"/>
      <c r="D63" s="9"/>
      <c r="E63" s="9"/>
      <c r="F63" s="9"/>
      <c r="G63" s="508"/>
      <c r="H63" s="9"/>
      <c r="I63" s="509"/>
      <c r="J63" s="509"/>
      <c r="K63" s="510"/>
      <c r="L63" s="497"/>
      <c r="M63" s="511"/>
      <c r="N63" s="955"/>
      <c r="O63" s="476"/>
      <c r="P63" s="476"/>
      <c r="Q63" s="476"/>
      <c r="R63" s="476"/>
      <c r="S63" s="476"/>
      <c r="T63" s="955"/>
      <c r="U63" s="497"/>
      <c r="V63" s="498"/>
      <c r="W63" s="962"/>
      <c r="X63" s="955"/>
      <c r="Y63" s="476"/>
      <c r="Z63" s="497"/>
      <c r="AA63" s="497"/>
      <c r="AB63" s="497"/>
      <c r="AC63" s="476"/>
      <c r="AD63" s="476"/>
      <c r="AE63" s="476"/>
      <c r="AF63" s="476"/>
      <c r="AG63" s="497"/>
      <c r="AH63" s="497"/>
      <c r="AI63" s="476"/>
      <c r="AJ63" s="476"/>
    </row>
    <row r="64" spans="1:16318">
      <c r="I64" s="218"/>
      <c r="J64" s="218"/>
      <c r="K64" s="270"/>
      <c r="L64" s="240"/>
      <c r="N64" s="366"/>
      <c r="O64" s="218"/>
      <c r="P64" s="218"/>
      <c r="Q64" s="218"/>
      <c r="R64" s="218"/>
      <c r="S64" s="218"/>
      <c r="T64" s="366"/>
      <c r="U64" s="240"/>
      <c r="V64" s="274"/>
      <c r="W64" s="786"/>
      <c r="X64" s="366"/>
      <c r="Y64" s="218"/>
      <c r="Z64" s="240"/>
      <c r="AA64" s="431"/>
      <c r="AB64" s="431"/>
      <c r="AC64" s="218"/>
      <c r="AD64" s="218"/>
      <c r="AE64" s="218"/>
      <c r="AF64" s="218"/>
      <c r="AG64" s="240"/>
      <c r="AH64" s="240"/>
      <c r="AI64" s="218"/>
      <c r="AJ64" s="218"/>
    </row>
  </sheetData>
  <sheetProtection formatCells="0" formatColumns="0" formatRows="0" insertColumns="0" insertRows="0" insertHyperlinks="0" deleteColumns="0" deleteRows="0"/>
  <autoFilter ref="A4:AJ55"/>
  <mergeCells count="9">
    <mergeCell ref="AH54:AI54"/>
    <mergeCell ref="B56:C56"/>
    <mergeCell ref="B62:C62"/>
    <mergeCell ref="F2:N2"/>
    <mergeCell ref="AC56:AF56"/>
    <mergeCell ref="AC62:AF62"/>
    <mergeCell ref="M56:O56"/>
    <mergeCell ref="M62:O62"/>
    <mergeCell ref="W62:Y62"/>
  </mergeCells>
  <printOptions horizontalCentered="1"/>
  <pageMargins left="0" right="0" top="0.39370078740157483" bottom="0" header="0" footer="0"/>
  <pageSetup paperSize="9" scale="40" fitToHeight="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R75"/>
  <sheetViews>
    <sheetView workbookViewId="0">
      <pane xSplit="3" ySplit="4" topLeftCell="J41" activePane="bottomRight" state="frozen"/>
      <selection pane="topRight" activeCell="D1" sqref="D1"/>
      <selection pane="bottomLeft" activeCell="A5" sqref="A5"/>
      <selection pane="bottomRight" activeCell="Q58" sqref="Q58"/>
    </sheetView>
  </sheetViews>
  <sheetFormatPr defaultRowHeight="14.4"/>
  <cols>
    <col min="1" max="1" width="3.44140625" customWidth="1"/>
    <col min="2" max="2" width="8.6640625" style="336" customWidth="1"/>
    <col min="3" max="3" width="34" bestFit="1" customWidth="1"/>
    <col min="4" max="4" width="11" customWidth="1"/>
    <col min="5" max="5" width="11.5546875" customWidth="1"/>
    <col min="6" max="6" width="11.6640625" customWidth="1"/>
    <col min="7" max="7" width="10.44140625" customWidth="1"/>
    <col min="8" max="8" width="11" style="30" customWidth="1"/>
    <col min="9" max="9" width="15.44140625" style="357" customWidth="1"/>
    <col min="10" max="11" width="12" style="30" customWidth="1"/>
    <col min="12" max="12" width="12" style="407" customWidth="1"/>
    <col min="13" max="13" width="12" style="329" customWidth="1"/>
    <col min="14" max="14" width="17.33203125" style="205" bestFit="1" customWidth="1"/>
    <col min="15" max="15" width="10.5546875" bestFit="1" customWidth="1"/>
    <col min="16" max="16" width="14.33203125" bestFit="1" customWidth="1"/>
    <col min="17" max="17" width="10.5546875" style="30" bestFit="1" customWidth="1"/>
    <col min="18" max="18" width="10.5546875" bestFit="1" customWidth="1"/>
  </cols>
  <sheetData>
    <row r="1" spans="1:18">
      <c r="H1" s="30">
        <f>8*26</f>
        <v>208</v>
      </c>
      <c r="J1" s="217"/>
    </row>
    <row r="2" spans="1:18">
      <c r="K2" s="156">
        <v>1</v>
      </c>
      <c r="N2" s="205">
        <f>778676/23</f>
        <v>33855.478260869568</v>
      </c>
      <c r="O2" s="795">
        <f>+I38+N2</f>
        <v>68392.369940618388</v>
      </c>
      <c r="P2">
        <f>1444500/32</f>
        <v>45140.625</v>
      </c>
      <c r="Q2" s="30">
        <f>+P2+I39</f>
        <v>80619.431907378341</v>
      </c>
    </row>
    <row r="3" spans="1:18" ht="39.6">
      <c r="A3" s="4" t="s">
        <v>0</v>
      </c>
      <c r="B3" s="4" t="s">
        <v>241</v>
      </c>
      <c r="C3" s="4" t="s">
        <v>270</v>
      </c>
      <c r="D3" s="4" t="s">
        <v>503</v>
      </c>
      <c r="E3" s="4" t="s">
        <v>277</v>
      </c>
      <c r="F3" s="4" t="s">
        <v>278</v>
      </c>
      <c r="G3" s="4" t="s">
        <v>275</v>
      </c>
      <c r="H3" s="4" t="s">
        <v>276</v>
      </c>
      <c r="I3" s="358" t="s">
        <v>279</v>
      </c>
      <c r="J3" s="32"/>
      <c r="K3" s="32"/>
      <c r="L3" s="406" t="s">
        <v>697</v>
      </c>
      <c r="M3" s="364" t="s">
        <v>674</v>
      </c>
    </row>
    <row r="4" spans="1:18" s="36" customFormat="1">
      <c r="A4" s="37" t="s">
        <v>5</v>
      </c>
      <c r="B4" s="337"/>
      <c r="C4" s="37" t="s">
        <v>242</v>
      </c>
      <c r="D4" s="37"/>
      <c r="E4" s="136">
        <f>20/60+7</f>
        <v>7.333333333333333</v>
      </c>
      <c r="F4" s="37"/>
      <c r="G4" s="37"/>
      <c r="H4" s="39"/>
      <c r="I4" s="359"/>
      <c r="J4" s="39"/>
      <c r="K4" s="39"/>
      <c r="L4" s="408"/>
      <c r="M4" s="365"/>
      <c r="N4" s="206"/>
      <c r="Q4" s="165"/>
    </row>
    <row r="5" spans="1:18">
      <c r="A5" s="3">
        <v>1</v>
      </c>
      <c r="B5" s="28"/>
      <c r="C5" s="3" t="s">
        <v>339</v>
      </c>
      <c r="D5" s="3">
        <f>220</f>
        <v>220</v>
      </c>
      <c r="E5" s="22">
        <f t="shared" ref="E5:E19" si="0">D5*$E$4</f>
        <v>1613.3333333333333</v>
      </c>
      <c r="F5" s="22">
        <f>E5*26</f>
        <v>41946.666666666664</v>
      </c>
      <c r="G5" s="3">
        <v>2</v>
      </c>
      <c r="H5" s="22">
        <f>F5/G5</f>
        <v>20973.333333333332</v>
      </c>
      <c r="I5" s="360">
        <f>J5/H5*$K$2</f>
        <v>238.39796567069297</v>
      </c>
      <c r="J5" s="22">
        <f>L5-K5</f>
        <v>5000000</v>
      </c>
      <c r="K5" s="22"/>
      <c r="L5" s="409">
        <v>5000000</v>
      </c>
      <c r="M5" s="326">
        <v>4500000</v>
      </c>
      <c r="N5" s="206">
        <f>J5/H5</f>
        <v>238.39796567069297</v>
      </c>
      <c r="O5" s="30"/>
      <c r="P5" s="108"/>
      <c r="R5" s="108"/>
    </row>
    <row r="6" spans="1:18">
      <c r="A6" s="3">
        <v>2</v>
      </c>
      <c r="B6" s="28"/>
      <c r="C6" s="3" t="s">
        <v>340</v>
      </c>
      <c r="D6" s="3">
        <v>180</v>
      </c>
      <c r="E6" s="22">
        <f t="shared" si="0"/>
        <v>1320</v>
      </c>
      <c r="F6" s="22">
        <f t="shared" ref="F6:F36" si="1">E6*26</f>
        <v>34320</v>
      </c>
      <c r="G6" s="3">
        <v>2</v>
      </c>
      <c r="H6" s="22">
        <f t="shared" ref="H6:H36" si="2">F6/G6</f>
        <v>17160</v>
      </c>
      <c r="I6" s="360">
        <f t="shared" ref="I6:I74" si="3">J6/H6*$K$2</f>
        <v>291.3752913752914</v>
      </c>
      <c r="J6" s="22">
        <f t="shared" ref="J6:J35" si="4">L6-K6</f>
        <v>5000000</v>
      </c>
      <c r="K6" s="22"/>
      <c r="L6" s="409">
        <v>5000000</v>
      </c>
      <c r="M6" s="326">
        <v>4500000</v>
      </c>
      <c r="N6" s="206">
        <f t="shared" ref="N6:N19" si="5">J6/H6</f>
        <v>291.3752913752914</v>
      </c>
      <c r="O6" s="30"/>
      <c r="P6" s="108"/>
      <c r="R6" s="108"/>
    </row>
    <row r="7" spans="1:18">
      <c r="A7" s="3">
        <v>3</v>
      </c>
      <c r="B7" s="28"/>
      <c r="C7" s="3" t="s">
        <v>341</v>
      </c>
      <c r="D7" s="3">
        <v>110</v>
      </c>
      <c r="E7" s="22">
        <f t="shared" si="0"/>
        <v>806.66666666666663</v>
      </c>
      <c r="F7" s="22">
        <f t="shared" si="1"/>
        <v>20973.333333333332</v>
      </c>
      <c r="G7" s="3">
        <v>2</v>
      </c>
      <c r="H7" s="22">
        <f t="shared" si="2"/>
        <v>10486.666666666666</v>
      </c>
      <c r="I7" s="360">
        <f t="shared" si="3"/>
        <v>476.79593134138594</v>
      </c>
      <c r="J7" s="22">
        <f t="shared" si="4"/>
        <v>5000000</v>
      </c>
      <c r="K7" s="22"/>
      <c r="L7" s="409">
        <v>5000000</v>
      </c>
      <c r="M7" s="326">
        <v>4500000</v>
      </c>
      <c r="N7" s="206">
        <f t="shared" si="5"/>
        <v>476.79593134138594</v>
      </c>
      <c r="O7" s="30"/>
      <c r="P7" s="108"/>
      <c r="R7" s="108"/>
    </row>
    <row r="8" spans="1:18">
      <c r="A8" s="3">
        <v>4</v>
      </c>
      <c r="B8" s="28"/>
      <c r="C8" s="3" t="s">
        <v>342</v>
      </c>
      <c r="D8" s="3">
        <v>180</v>
      </c>
      <c r="E8" s="22">
        <f t="shared" si="0"/>
        <v>1320</v>
      </c>
      <c r="F8" s="22">
        <f t="shared" si="1"/>
        <v>34320</v>
      </c>
      <c r="G8" s="3">
        <v>3</v>
      </c>
      <c r="H8" s="22">
        <f>F8/G8</f>
        <v>11440</v>
      </c>
      <c r="I8" s="360">
        <f t="shared" si="3"/>
        <v>437.06293706293707</v>
      </c>
      <c r="J8" s="22">
        <f>L8-K8</f>
        <v>5000000</v>
      </c>
      <c r="K8" s="22"/>
      <c r="L8" s="409">
        <v>5000000</v>
      </c>
      <c r="M8" s="326">
        <v>4500000</v>
      </c>
      <c r="N8" s="206">
        <f t="shared" si="5"/>
        <v>437.06293706293707</v>
      </c>
      <c r="O8" s="30"/>
      <c r="P8" s="108"/>
      <c r="R8" s="108"/>
    </row>
    <row r="9" spans="1:18">
      <c r="A9" s="3">
        <v>5</v>
      </c>
      <c r="B9" s="28"/>
      <c r="C9" s="3" t="s">
        <v>343</v>
      </c>
      <c r="D9" s="3">
        <v>160</v>
      </c>
      <c r="E9" s="22">
        <f t="shared" si="0"/>
        <v>1173.3333333333333</v>
      </c>
      <c r="F9" s="22">
        <f t="shared" si="1"/>
        <v>30506.666666666664</v>
      </c>
      <c r="G9" s="3">
        <v>5</v>
      </c>
      <c r="H9" s="22">
        <f t="shared" si="2"/>
        <v>6101.333333333333</v>
      </c>
      <c r="I9" s="360">
        <f t="shared" si="3"/>
        <v>819.49300699300704</v>
      </c>
      <c r="J9" s="22">
        <f t="shared" si="4"/>
        <v>5000000</v>
      </c>
      <c r="K9" s="22"/>
      <c r="L9" s="409">
        <v>5000000</v>
      </c>
      <c r="M9" s="326">
        <v>4500000</v>
      </c>
      <c r="N9" s="206">
        <f t="shared" si="5"/>
        <v>819.49300699300704</v>
      </c>
      <c r="O9" s="30"/>
      <c r="P9" s="108"/>
      <c r="R9" s="108"/>
    </row>
    <row r="10" spans="1:18">
      <c r="A10" s="3">
        <v>6</v>
      </c>
      <c r="B10" s="28"/>
      <c r="C10" s="3" t="s">
        <v>344</v>
      </c>
      <c r="D10" s="3">
        <v>160</v>
      </c>
      <c r="E10" s="22">
        <f t="shared" si="0"/>
        <v>1173.3333333333333</v>
      </c>
      <c r="F10" s="22">
        <f t="shared" si="1"/>
        <v>30506.666666666664</v>
      </c>
      <c r="G10" s="3">
        <v>5</v>
      </c>
      <c r="H10" s="22">
        <f t="shared" si="2"/>
        <v>6101.333333333333</v>
      </c>
      <c r="I10" s="360">
        <f t="shared" si="3"/>
        <v>819.49300699300704</v>
      </c>
      <c r="J10" s="22">
        <f t="shared" si="4"/>
        <v>5000000</v>
      </c>
      <c r="K10" s="22"/>
      <c r="L10" s="409">
        <v>5000000</v>
      </c>
      <c r="M10" s="326">
        <v>4500000</v>
      </c>
      <c r="N10" s="206">
        <f t="shared" si="5"/>
        <v>819.49300699300704</v>
      </c>
      <c r="O10" s="30"/>
      <c r="P10" s="108"/>
      <c r="R10" s="108"/>
    </row>
    <row r="11" spans="1:18">
      <c r="A11" s="3">
        <v>7</v>
      </c>
      <c r="B11" s="28"/>
      <c r="C11" s="3" t="s">
        <v>345</v>
      </c>
      <c r="D11" s="3">
        <v>90</v>
      </c>
      <c r="E11" s="22">
        <f t="shared" si="0"/>
        <v>660</v>
      </c>
      <c r="F11" s="22">
        <f t="shared" si="1"/>
        <v>17160</v>
      </c>
      <c r="G11" s="3">
        <v>5</v>
      </c>
      <c r="H11" s="22">
        <f t="shared" si="2"/>
        <v>3432</v>
      </c>
      <c r="I11" s="360">
        <f t="shared" si="3"/>
        <v>1456.8764568764568</v>
      </c>
      <c r="J11" s="22">
        <f t="shared" si="4"/>
        <v>5000000</v>
      </c>
      <c r="K11" s="22"/>
      <c r="L11" s="409">
        <v>5000000</v>
      </c>
      <c r="M11" s="326">
        <v>4500000</v>
      </c>
      <c r="N11" s="206">
        <f t="shared" si="5"/>
        <v>1456.8764568764568</v>
      </c>
      <c r="O11" s="30"/>
      <c r="P11" s="108"/>
      <c r="R11" s="108"/>
    </row>
    <row r="12" spans="1:18">
      <c r="A12" s="3">
        <v>8</v>
      </c>
      <c r="B12" s="28"/>
      <c r="C12" s="3" t="s">
        <v>346</v>
      </c>
      <c r="D12" s="3">
        <v>230</v>
      </c>
      <c r="E12" s="22">
        <f t="shared" si="0"/>
        <v>1686.6666666666665</v>
      </c>
      <c r="F12" s="22">
        <f t="shared" si="1"/>
        <v>43853.333333333328</v>
      </c>
      <c r="G12" s="3">
        <v>2</v>
      </c>
      <c r="H12" s="22">
        <f t="shared" si="2"/>
        <v>21926.666666666664</v>
      </c>
      <c r="I12" s="360">
        <f t="shared" si="3"/>
        <v>228.03283672848892</v>
      </c>
      <c r="J12" s="22">
        <f t="shared" si="4"/>
        <v>5000000</v>
      </c>
      <c r="K12" s="22"/>
      <c r="L12" s="409">
        <v>5000000</v>
      </c>
      <c r="M12" s="326">
        <v>4500000</v>
      </c>
      <c r="N12" s="206">
        <f t="shared" si="5"/>
        <v>228.03283672848892</v>
      </c>
      <c r="O12" s="30"/>
      <c r="P12" s="108"/>
      <c r="R12" s="108"/>
    </row>
    <row r="13" spans="1:18">
      <c r="A13" s="3">
        <v>9</v>
      </c>
      <c r="B13" s="28"/>
      <c r="C13" s="3" t="s">
        <v>347</v>
      </c>
      <c r="D13" s="3">
        <v>250</v>
      </c>
      <c r="E13" s="22">
        <f t="shared" si="0"/>
        <v>1833.3333333333333</v>
      </c>
      <c r="F13" s="22">
        <f t="shared" si="1"/>
        <v>47666.666666666664</v>
      </c>
      <c r="G13" s="3">
        <v>2</v>
      </c>
      <c r="H13" s="22">
        <f t="shared" si="2"/>
        <v>23833.333333333332</v>
      </c>
      <c r="I13" s="360">
        <f t="shared" si="3"/>
        <v>209.79020979020981</v>
      </c>
      <c r="J13" s="22">
        <f t="shared" si="4"/>
        <v>5000000</v>
      </c>
      <c r="K13" s="22"/>
      <c r="L13" s="409">
        <v>5000000</v>
      </c>
      <c r="M13" s="326">
        <v>4500000</v>
      </c>
      <c r="N13" s="206">
        <f t="shared" si="5"/>
        <v>209.79020979020981</v>
      </c>
      <c r="O13" s="30"/>
      <c r="P13" s="108"/>
      <c r="R13" s="108"/>
    </row>
    <row r="14" spans="1:18">
      <c r="A14" s="3">
        <v>10</v>
      </c>
      <c r="B14" s="28"/>
      <c r="C14" s="3" t="s">
        <v>348</v>
      </c>
      <c r="D14" s="3">
        <v>200</v>
      </c>
      <c r="E14" s="22">
        <f t="shared" si="0"/>
        <v>1466.6666666666665</v>
      </c>
      <c r="F14" s="22">
        <f t="shared" si="1"/>
        <v>38133.333333333328</v>
      </c>
      <c r="G14" s="3">
        <v>2</v>
      </c>
      <c r="H14" s="22">
        <f t="shared" si="2"/>
        <v>19066.666666666664</v>
      </c>
      <c r="I14" s="360">
        <f t="shared" si="3"/>
        <v>262.2377622377623</v>
      </c>
      <c r="J14" s="22">
        <f t="shared" si="4"/>
        <v>5000000</v>
      </c>
      <c r="K14" s="22"/>
      <c r="L14" s="409">
        <v>5000000</v>
      </c>
      <c r="M14" s="326">
        <v>4500000</v>
      </c>
      <c r="N14" s="206">
        <f t="shared" si="5"/>
        <v>262.2377622377623</v>
      </c>
      <c r="O14" s="30"/>
      <c r="P14" s="108"/>
      <c r="R14" s="108"/>
    </row>
    <row r="15" spans="1:18">
      <c r="A15" s="3">
        <v>11</v>
      </c>
      <c r="B15" s="28"/>
      <c r="C15" s="3" t="s">
        <v>349</v>
      </c>
      <c r="D15" s="3">
        <v>230</v>
      </c>
      <c r="E15" s="22">
        <f t="shared" si="0"/>
        <v>1686.6666666666665</v>
      </c>
      <c r="F15" s="22">
        <f t="shared" si="1"/>
        <v>43853.333333333328</v>
      </c>
      <c r="G15" s="3">
        <v>2</v>
      </c>
      <c r="H15" s="22">
        <f t="shared" si="2"/>
        <v>21926.666666666664</v>
      </c>
      <c r="I15" s="360">
        <f t="shared" si="3"/>
        <v>228.03283672848892</v>
      </c>
      <c r="J15" s="22">
        <f t="shared" si="4"/>
        <v>5000000</v>
      </c>
      <c r="K15" s="22"/>
      <c r="L15" s="409">
        <v>5000000</v>
      </c>
      <c r="M15" s="326">
        <v>4500000</v>
      </c>
      <c r="N15" s="206">
        <f t="shared" si="5"/>
        <v>228.03283672848892</v>
      </c>
      <c r="O15" s="30"/>
      <c r="P15" s="108"/>
      <c r="R15" s="108"/>
    </row>
    <row r="16" spans="1:18">
      <c r="A16" s="3">
        <v>12</v>
      </c>
      <c r="B16" s="28"/>
      <c r="C16" s="3" t="s">
        <v>350</v>
      </c>
      <c r="D16" s="3">
        <v>140</v>
      </c>
      <c r="E16" s="22">
        <f t="shared" si="0"/>
        <v>1026.6666666666665</v>
      </c>
      <c r="F16" s="22">
        <f t="shared" si="1"/>
        <v>26693.333333333328</v>
      </c>
      <c r="G16" s="3">
        <v>5</v>
      </c>
      <c r="H16" s="22">
        <f t="shared" si="2"/>
        <v>5338.6666666666661</v>
      </c>
      <c r="I16" s="360">
        <f t="shared" si="3"/>
        <v>936.56343656343665</v>
      </c>
      <c r="J16" s="22">
        <f t="shared" si="4"/>
        <v>5000000</v>
      </c>
      <c r="K16" s="22"/>
      <c r="L16" s="409">
        <v>5000000</v>
      </c>
      <c r="M16" s="326">
        <v>4500000</v>
      </c>
      <c r="N16" s="206">
        <f t="shared" si="5"/>
        <v>936.56343656343665</v>
      </c>
      <c r="O16" s="30"/>
      <c r="P16" s="108"/>
      <c r="R16" s="108"/>
    </row>
    <row r="17" spans="1:18">
      <c r="A17" s="3">
        <v>13</v>
      </c>
      <c r="B17" s="28"/>
      <c r="C17" s="3" t="s">
        <v>351</v>
      </c>
      <c r="D17" s="3">
        <v>115</v>
      </c>
      <c r="E17" s="22">
        <f t="shared" si="0"/>
        <v>843.33333333333326</v>
      </c>
      <c r="F17" s="22">
        <f t="shared" si="1"/>
        <v>21926.666666666664</v>
      </c>
      <c r="G17" s="3">
        <v>7</v>
      </c>
      <c r="H17" s="22">
        <f t="shared" si="2"/>
        <v>3132.3809523809518</v>
      </c>
      <c r="I17" s="360">
        <f t="shared" si="3"/>
        <v>1596.2298570994226</v>
      </c>
      <c r="J17" s="22">
        <f t="shared" si="4"/>
        <v>5000000</v>
      </c>
      <c r="K17" s="22"/>
      <c r="L17" s="409">
        <v>5000000</v>
      </c>
      <c r="M17" s="326">
        <v>4500000</v>
      </c>
      <c r="N17" s="206">
        <f t="shared" si="5"/>
        <v>1596.2298570994226</v>
      </c>
      <c r="O17" s="30"/>
      <c r="P17" s="108"/>
      <c r="R17" s="108"/>
    </row>
    <row r="18" spans="1:18">
      <c r="A18" s="3">
        <v>14</v>
      </c>
      <c r="B18" s="28"/>
      <c r="C18" s="3" t="s">
        <v>352</v>
      </c>
      <c r="D18" s="3">
        <v>100</v>
      </c>
      <c r="E18" s="22">
        <f t="shared" si="0"/>
        <v>733.33333333333326</v>
      </c>
      <c r="F18" s="22">
        <f t="shared" si="1"/>
        <v>19066.666666666664</v>
      </c>
      <c r="G18" s="3">
        <v>7</v>
      </c>
      <c r="H18" s="22">
        <f t="shared" si="2"/>
        <v>2723.8095238095234</v>
      </c>
      <c r="I18" s="360">
        <f t="shared" si="3"/>
        <v>1835.664335664336</v>
      </c>
      <c r="J18" s="22">
        <f t="shared" si="4"/>
        <v>5000000</v>
      </c>
      <c r="K18" s="22"/>
      <c r="L18" s="409">
        <v>5000000</v>
      </c>
      <c r="M18" s="326">
        <v>4500000</v>
      </c>
      <c r="N18" s="206">
        <f t="shared" si="5"/>
        <v>1835.664335664336</v>
      </c>
      <c r="O18" s="30"/>
      <c r="P18" s="108"/>
      <c r="R18" s="108"/>
    </row>
    <row r="19" spans="1:18">
      <c r="A19" s="3">
        <v>15</v>
      </c>
      <c r="B19" s="28"/>
      <c r="C19" s="3" t="s">
        <v>353</v>
      </c>
      <c r="D19" s="3">
        <v>90</v>
      </c>
      <c r="E19" s="22">
        <f t="shared" si="0"/>
        <v>660</v>
      </c>
      <c r="F19" s="22">
        <f t="shared" si="1"/>
        <v>17160</v>
      </c>
      <c r="G19" s="3">
        <v>7</v>
      </c>
      <c r="H19" s="22">
        <f t="shared" si="2"/>
        <v>2451.4285714285716</v>
      </c>
      <c r="I19" s="360">
        <f t="shared" si="3"/>
        <v>2039.6270396270395</v>
      </c>
      <c r="J19" s="22">
        <f t="shared" si="4"/>
        <v>5000000</v>
      </c>
      <c r="K19" s="22"/>
      <c r="L19" s="409">
        <v>5000000</v>
      </c>
      <c r="M19" s="326">
        <v>4500000</v>
      </c>
      <c r="N19" s="206">
        <f t="shared" si="5"/>
        <v>2039.6270396270395</v>
      </c>
      <c r="O19" s="30"/>
      <c r="P19" s="108"/>
      <c r="R19" s="108"/>
    </row>
    <row r="20" spans="1:18" s="36" customFormat="1">
      <c r="A20" s="37" t="s">
        <v>6</v>
      </c>
      <c r="B20" s="337"/>
      <c r="C20" s="37" t="s">
        <v>243</v>
      </c>
      <c r="D20" s="37"/>
      <c r="E20" s="37">
        <v>6.5</v>
      </c>
      <c r="F20" s="37"/>
      <c r="G20" s="37"/>
      <c r="H20" s="39"/>
      <c r="I20" s="360"/>
      <c r="J20" s="39"/>
      <c r="K20" s="39"/>
      <c r="L20" s="408"/>
      <c r="M20" s="365"/>
      <c r="N20" s="206"/>
      <c r="Q20" s="165"/>
    </row>
    <row r="21" spans="1:18">
      <c r="A21" s="3">
        <v>1</v>
      </c>
      <c r="B21" s="28"/>
      <c r="C21" s="3" t="s">
        <v>323</v>
      </c>
      <c r="D21" s="3">
        <f>260*30</f>
        <v>7800</v>
      </c>
      <c r="E21" s="22">
        <f t="shared" ref="E21:E29" si="6">D21*$E$20</f>
        <v>50700</v>
      </c>
      <c r="F21" s="22">
        <f t="shared" si="1"/>
        <v>1318200</v>
      </c>
      <c r="G21" s="3">
        <v>5</v>
      </c>
      <c r="H21" s="22">
        <f>F21/G21</f>
        <v>263640</v>
      </c>
      <c r="I21" s="360">
        <f t="shared" si="3"/>
        <v>18.965255651646185</v>
      </c>
      <c r="J21" s="22">
        <f t="shared" si="4"/>
        <v>5000000</v>
      </c>
      <c r="K21" s="22"/>
      <c r="L21" s="409">
        <v>5000000</v>
      </c>
      <c r="M21" s="326">
        <v>4500000</v>
      </c>
      <c r="N21" s="206">
        <f>J21/H21</f>
        <v>18.965255651646185</v>
      </c>
      <c r="O21" s="108"/>
    </row>
    <row r="22" spans="1:18">
      <c r="A22" s="3">
        <v>2</v>
      </c>
      <c r="B22" s="28"/>
      <c r="C22" s="3" t="s">
        <v>324</v>
      </c>
      <c r="D22" s="3">
        <f>260*20</f>
        <v>5200</v>
      </c>
      <c r="E22" s="22">
        <f t="shared" si="6"/>
        <v>33800</v>
      </c>
      <c r="F22" s="22">
        <f t="shared" si="1"/>
        <v>878800</v>
      </c>
      <c r="G22" s="3">
        <v>5</v>
      </c>
      <c r="H22" s="22">
        <f t="shared" si="2"/>
        <v>175760</v>
      </c>
      <c r="I22" s="360">
        <f t="shared" si="3"/>
        <v>28.447883477469276</v>
      </c>
      <c r="J22" s="22">
        <f t="shared" si="4"/>
        <v>5000000</v>
      </c>
      <c r="K22" s="22"/>
      <c r="L22" s="409">
        <v>5000000</v>
      </c>
      <c r="M22" s="326">
        <v>4500000</v>
      </c>
      <c r="N22" s="206">
        <f t="shared" ref="N22:N74" si="7">J22/H22</f>
        <v>28.447883477469276</v>
      </c>
    </row>
    <row r="23" spans="1:18">
      <c r="A23" s="3">
        <v>3</v>
      </c>
      <c r="B23" s="28"/>
      <c r="C23" s="3" t="s">
        <v>325</v>
      </c>
      <c r="D23" s="3">
        <f>260*10</f>
        <v>2600</v>
      </c>
      <c r="E23" s="22">
        <f t="shared" si="6"/>
        <v>16900</v>
      </c>
      <c r="F23" s="22">
        <f t="shared" si="1"/>
        <v>439400</v>
      </c>
      <c r="G23" s="3">
        <v>5</v>
      </c>
      <c r="H23" s="22">
        <f t="shared" si="2"/>
        <v>87880</v>
      </c>
      <c r="I23" s="360">
        <f t="shared" si="3"/>
        <v>56.895766954938551</v>
      </c>
      <c r="J23" s="22">
        <f t="shared" si="4"/>
        <v>5000000</v>
      </c>
      <c r="K23" s="22"/>
      <c r="L23" s="409">
        <v>5000000</v>
      </c>
      <c r="M23" s="326">
        <v>4500000</v>
      </c>
      <c r="N23" s="206">
        <f t="shared" si="7"/>
        <v>56.895766954938551</v>
      </c>
    </row>
    <row r="24" spans="1:18">
      <c r="A24" s="3">
        <v>4</v>
      </c>
      <c r="B24" s="28"/>
      <c r="C24" s="3" t="s">
        <v>326</v>
      </c>
      <c r="D24" s="3">
        <v>1200</v>
      </c>
      <c r="E24" s="22">
        <f t="shared" si="6"/>
        <v>7800</v>
      </c>
      <c r="F24" s="22">
        <f t="shared" si="1"/>
        <v>202800</v>
      </c>
      <c r="G24" s="3">
        <v>5</v>
      </c>
      <c r="H24" s="22">
        <f t="shared" si="2"/>
        <v>40560</v>
      </c>
      <c r="I24" s="360">
        <f t="shared" si="3"/>
        <v>123.2741617357002</v>
      </c>
      <c r="J24" s="22">
        <f t="shared" si="4"/>
        <v>5000000</v>
      </c>
      <c r="K24" s="22"/>
      <c r="L24" s="409">
        <v>5000000</v>
      </c>
      <c r="M24" s="326">
        <v>4500000</v>
      </c>
      <c r="N24" s="206">
        <f t="shared" si="7"/>
        <v>123.2741617357002</v>
      </c>
    </row>
    <row r="25" spans="1:18">
      <c r="A25" s="3">
        <v>5</v>
      </c>
      <c r="B25" s="28"/>
      <c r="C25" s="3" t="s">
        <v>327</v>
      </c>
      <c r="D25" s="3">
        <f>440</f>
        <v>440</v>
      </c>
      <c r="E25" s="22">
        <f t="shared" si="6"/>
        <v>2860</v>
      </c>
      <c r="F25" s="22">
        <f t="shared" si="1"/>
        <v>74360</v>
      </c>
      <c r="G25" s="3">
        <v>5</v>
      </c>
      <c r="H25" s="22">
        <f>F25/G25</f>
        <v>14872</v>
      </c>
      <c r="I25" s="360">
        <f t="shared" si="3"/>
        <v>336.20225927918233</v>
      </c>
      <c r="J25" s="22">
        <f t="shared" si="4"/>
        <v>5000000</v>
      </c>
      <c r="K25" s="22"/>
      <c r="L25" s="409">
        <v>5000000</v>
      </c>
      <c r="M25" s="326">
        <v>4500000</v>
      </c>
      <c r="N25" s="206">
        <f t="shared" si="7"/>
        <v>336.20225927918233</v>
      </c>
    </row>
    <row r="26" spans="1:18">
      <c r="A26" s="3">
        <v>6</v>
      </c>
      <c r="B26" s="28"/>
      <c r="C26" s="3" t="s">
        <v>328</v>
      </c>
      <c r="D26" s="3">
        <f>440</f>
        <v>440</v>
      </c>
      <c r="E26" s="22">
        <f t="shared" si="6"/>
        <v>2860</v>
      </c>
      <c r="F26" s="22">
        <f t="shared" si="1"/>
        <v>74360</v>
      </c>
      <c r="G26" s="3">
        <v>5</v>
      </c>
      <c r="H26" s="22">
        <f t="shared" si="2"/>
        <v>14872</v>
      </c>
      <c r="I26" s="360">
        <f t="shared" si="3"/>
        <v>336.20225927918233</v>
      </c>
      <c r="J26" s="22">
        <f t="shared" si="4"/>
        <v>5000000</v>
      </c>
      <c r="K26" s="22"/>
      <c r="L26" s="409">
        <v>5000000</v>
      </c>
      <c r="M26" s="326">
        <v>4500000</v>
      </c>
      <c r="N26" s="206">
        <f t="shared" si="7"/>
        <v>336.20225927918233</v>
      </c>
    </row>
    <row r="27" spans="1:18">
      <c r="A27" s="3">
        <v>7</v>
      </c>
      <c r="B27" s="28"/>
      <c r="C27" s="3" t="s">
        <v>329</v>
      </c>
      <c r="D27" s="3">
        <v>250</v>
      </c>
      <c r="E27" s="22">
        <f t="shared" si="6"/>
        <v>1625</v>
      </c>
      <c r="F27" s="22">
        <f t="shared" si="1"/>
        <v>42250</v>
      </c>
      <c r="G27" s="3">
        <v>6</v>
      </c>
      <c r="H27" s="22">
        <f t="shared" si="2"/>
        <v>7041.666666666667</v>
      </c>
      <c r="I27" s="360">
        <f t="shared" si="3"/>
        <v>710.05917159763305</v>
      </c>
      <c r="J27" s="22">
        <f t="shared" si="4"/>
        <v>5000000</v>
      </c>
      <c r="K27" s="22"/>
      <c r="L27" s="409">
        <v>5000000</v>
      </c>
      <c r="M27" s="326">
        <v>4500000</v>
      </c>
      <c r="N27" s="206">
        <f t="shared" si="7"/>
        <v>710.05917159763305</v>
      </c>
    </row>
    <row r="28" spans="1:18">
      <c r="A28" s="3">
        <v>8</v>
      </c>
      <c r="B28" s="28"/>
      <c r="C28" s="3" t="s">
        <v>330</v>
      </c>
      <c r="D28" s="3">
        <f>97.5*80</f>
        <v>7800</v>
      </c>
      <c r="E28" s="22">
        <f t="shared" si="6"/>
        <v>50700</v>
      </c>
      <c r="F28" s="22">
        <f t="shared" si="1"/>
        <v>1318200</v>
      </c>
      <c r="G28" s="3">
        <v>5</v>
      </c>
      <c r="H28" s="22">
        <f>F28/G28</f>
        <v>263640</v>
      </c>
      <c r="I28" s="360">
        <f t="shared" si="3"/>
        <v>18.965255651646185</v>
      </c>
      <c r="J28" s="22">
        <f t="shared" si="4"/>
        <v>5000000</v>
      </c>
      <c r="K28" s="22"/>
      <c r="L28" s="409">
        <v>5000000</v>
      </c>
      <c r="M28" s="326">
        <v>4500000</v>
      </c>
      <c r="N28" s="206">
        <f t="shared" si="7"/>
        <v>18.965255651646185</v>
      </c>
    </row>
    <row r="29" spans="1:18">
      <c r="A29" s="3">
        <v>9</v>
      </c>
      <c r="B29" s="28"/>
      <c r="C29" s="3" t="s">
        <v>331</v>
      </c>
      <c r="D29" s="3">
        <f>156*50</f>
        <v>7800</v>
      </c>
      <c r="E29" s="22">
        <f t="shared" si="6"/>
        <v>50700</v>
      </c>
      <c r="F29" s="22">
        <f t="shared" si="1"/>
        <v>1318200</v>
      </c>
      <c r="G29" s="3">
        <v>5</v>
      </c>
      <c r="H29" s="22">
        <f>F29/G29</f>
        <v>263640</v>
      </c>
      <c r="I29" s="360">
        <f t="shared" si="3"/>
        <v>18.965255651646185</v>
      </c>
      <c r="J29" s="22">
        <f t="shared" si="4"/>
        <v>5000000</v>
      </c>
      <c r="K29" s="22"/>
      <c r="L29" s="409">
        <v>5000000</v>
      </c>
      <c r="M29" s="326">
        <v>4500000</v>
      </c>
      <c r="N29" s="206">
        <f t="shared" si="7"/>
        <v>18.965255651646185</v>
      </c>
    </row>
    <row r="30" spans="1:18">
      <c r="A30" s="3">
        <v>10</v>
      </c>
      <c r="B30" s="28"/>
      <c r="C30" s="3" t="s">
        <v>332</v>
      </c>
      <c r="D30" s="3">
        <f>156*25</f>
        <v>3900</v>
      </c>
      <c r="E30" s="22">
        <f t="shared" ref="E30:E35" si="8">D30*$E$20</f>
        <v>25350</v>
      </c>
      <c r="F30" s="22">
        <f t="shared" si="1"/>
        <v>659100</v>
      </c>
      <c r="G30" s="3">
        <v>5</v>
      </c>
      <c r="H30" s="22">
        <f>F30/G30</f>
        <v>131820</v>
      </c>
      <c r="I30" s="360">
        <f t="shared" si="3"/>
        <v>37.93051130329237</v>
      </c>
      <c r="J30" s="22">
        <f t="shared" si="4"/>
        <v>5000000</v>
      </c>
      <c r="K30" s="22"/>
      <c r="L30" s="409">
        <v>5000000</v>
      </c>
      <c r="M30" s="326">
        <v>4500000</v>
      </c>
      <c r="N30" s="206">
        <f t="shared" si="7"/>
        <v>37.93051130329237</v>
      </c>
    </row>
    <row r="31" spans="1:18">
      <c r="A31" s="3">
        <v>11</v>
      </c>
      <c r="B31" s="28"/>
      <c r="C31" s="3" t="s">
        <v>333</v>
      </c>
      <c r="D31" s="3">
        <f>260*10</f>
        <v>2600</v>
      </c>
      <c r="E31" s="22">
        <f t="shared" si="8"/>
        <v>16900</v>
      </c>
      <c r="F31" s="22">
        <f t="shared" si="1"/>
        <v>439400</v>
      </c>
      <c r="G31" s="3">
        <v>5</v>
      </c>
      <c r="H31" s="22">
        <f>F31/G31</f>
        <v>87880</v>
      </c>
      <c r="I31" s="360">
        <f t="shared" si="3"/>
        <v>56.895766954938551</v>
      </c>
      <c r="J31" s="22">
        <f t="shared" si="4"/>
        <v>5000000</v>
      </c>
      <c r="K31" s="22"/>
      <c r="L31" s="409">
        <v>5000000</v>
      </c>
      <c r="M31" s="326">
        <v>4500000</v>
      </c>
      <c r="N31" s="206">
        <f t="shared" si="7"/>
        <v>56.895766954938551</v>
      </c>
    </row>
    <row r="32" spans="1:18">
      <c r="A32" s="3">
        <v>12</v>
      </c>
      <c r="B32" s="28"/>
      <c r="C32" s="3" t="s">
        <v>334</v>
      </c>
      <c r="D32" s="3">
        <v>300</v>
      </c>
      <c r="E32" s="22">
        <f t="shared" si="8"/>
        <v>1950</v>
      </c>
      <c r="F32" s="22">
        <f t="shared" si="1"/>
        <v>50700</v>
      </c>
      <c r="G32" s="3">
        <v>5</v>
      </c>
      <c r="H32" s="22">
        <f t="shared" si="2"/>
        <v>10140</v>
      </c>
      <c r="I32" s="360">
        <f t="shared" si="3"/>
        <v>493.09664694280082</v>
      </c>
      <c r="J32" s="22">
        <f t="shared" si="4"/>
        <v>5000000</v>
      </c>
      <c r="K32" s="22"/>
      <c r="L32" s="409">
        <v>5000000</v>
      </c>
      <c r="M32" s="326">
        <v>4500000</v>
      </c>
      <c r="N32" s="206">
        <f t="shared" si="7"/>
        <v>493.09664694280082</v>
      </c>
    </row>
    <row r="33" spans="1:18">
      <c r="A33" s="3">
        <v>13</v>
      </c>
      <c r="B33" s="28"/>
      <c r="C33" s="3" t="s">
        <v>335</v>
      </c>
      <c r="D33" s="3">
        <v>250</v>
      </c>
      <c r="E33" s="22">
        <f t="shared" si="8"/>
        <v>1625</v>
      </c>
      <c r="F33" s="22">
        <f t="shared" si="1"/>
        <v>42250</v>
      </c>
      <c r="G33" s="3">
        <v>5</v>
      </c>
      <c r="H33" s="22">
        <f t="shared" si="2"/>
        <v>8450</v>
      </c>
      <c r="I33" s="360">
        <f t="shared" si="3"/>
        <v>591.71597633136093</v>
      </c>
      <c r="J33" s="22">
        <f t="shared" si="4"/>
        <v>5000000</v>
      </c>
      <c r="K33" s="22"/>
      <c r="L33" s="409">
        <v>5000000</v>
      </c>
      <c r="M33" s="326">
        <v>4500000</v>
      </c>
      <c r="N33" s="206">
        <f t="shared" si="7"/>
        <v>591.71597633136093</v>
      </c>
    </row>
    <row r="34" spans="1:18">
      <c r="A34" s="3">
        <v>14</v>
      </c>
      <c r="B34" s="28"/>
      <c r="C34" s="3" t="s">
        <v>336</v>
      </c>
      <c r="D34" s="3">
        <v>250</v>
      </c>
      <c r="E34" s="22">
        <f t="shared" si="8"/>
        <v>1625</v>
      </c>
      <c r="F34" s="22">
        <f t="shared" si="1"/>
        <v>42250</v>
      </c>
      <c r="G34" s="3">
        <v>6</v>
      </c>
      <c r="H34" s="22">
        <f t="shared" si="2"/>
        <v>7041.666666666667</v>
      </c>
      <c r="I34" s="360">
        <f t="shared" si="3"/>
        <v>710.05917159763305</v>
      </c>
      <c r="J34" s="22">
        <f t="shared" si="4"/>
        <v>5000000</v>
      </c>
      <c r="K34" s="22"/>
      <c r="L34" s="409">
        <v>5000000</v>
      </c>
      <c r="M34" s="326">
        <v>4500000</v>
      </c>
      <c r="N34" s="206">
        <f t="shared" si="7"/>
        <v>710.05917159763305</v>
      </c>
    </row>
    <row r="35" spans="1:18">
      <c r="A35" s="3">
        <v>15</v>
      </c>
      <c r="B35" s="28"/>
      <c r="C35" s="3" t="s">
        <v>337</v>
      </c>
      <c r="D35" s="3">
        <v>250</v>
      </c>
      <c r="E35" s="22">
        <f t="shared" si="8"/>
        <v>1625</v>
      </c>
      <c r="F35" s="22">
        <f t="shared" si="1"/>
        <v>42250</v>
      </c>
      <c r="G35" s="3">
        <v>6</v>
      </c>
      <c r="H35" s="22">
        <f t="shared" si="2"/>
        <v>7041.666666666667</v>
      </c>
      <c r="I35" s="360">
        <f t="shared" si="3"/>
        <v>710.05917159763305</v>
      </c>
      <c r="J35" s="22">
        <f t="shared" si="4"/>
        <v>5000000</v>
      </c>
      <c r="K35" s="22"/>
      <c r="L35" s="409">
        <v>5000000</v>
      </c>
      <c r="M35" s="326">
        <v>4500000</v>
      </c>
      <c r="N35" s="206">
        <f t="shared" si="7"/>
        <v>710.05917159763305</v>
      </c>
    </row>
    <row r="36" spans="1:18">
      <c r="A36" s="3">
        <v>15</v>
      </c>
      <c r="B36" s="28"/>
      <c r="C36" s="3" t="s">
        <v>338</v>
      </c>
      <c r="D36" s="3"/>
      <c r="E36" s="22">
        <v>50700</v>
      </c>
      <c r="F36" s="22">
        <f t="shared" si="1"/>
        <v>1318200</v>
      </c>
      <c r="G36" s="3">
        <v>5</v>
      </c>
      <c r="H36" s="22">
        <f t="shared" si="2"/>
        <v>263640</v>
      </c>
      <c r="I36" s="360">
        <f t="shared" si="3"/>
        <v>18.965255651646185</v>
      </c>
      <c r="J36" s="22">
        <f>L36-K36</f>
        <v>5000000</v>
      </c>
      <c r="K36" s="22"/>
      <c r="L36" s="409">
        <v>5000000</v>
      </c>
      <c r="M36" s="326">
        <v>4500000</v>
      </c>
      <c r="N36" s="206">
        <f t="shared" si="7"/>
        <v>18.965255651646185</v>
      </c>
    </row>
    <row r="37" spans="1:18">
      <c r="A37" s="37" t="s">
        <v>8</v>
      </c>
      <c r="B37" s="337"/>
      <c r="C37" s="37" t="s">
        <v>271</v>
      </c>
      <c r="D37" s="37"/>
      <c r="E37" s="37"/>
      <c r="F37" s="37"/>
      <c r="G37" s="37"/>
      <c r="H37" s="40"/>
      <c r="I37" s="40"/>
      <c r="J37" s="40"/>
      <c r="K37" s="40"/>
      <c r="L37" s="409"/>
      <c r="M37" s="326"/>
      <c r="N37" s="206"/>
    </row>
    <row r="38" spans="1:18" s="334" customFormat="1">
      <c r="A38" s="330">
        <v>1</v>
      </c>
      <c r="B38" s="338" t="s">
        <v>5</v>
      </c>
      <c r="C38" s="331" t="s">
        <v>683</v>
      </c>
      <c r="D38" s="331"/>
      <c r="E38" s="330">
        <v>7</v>
      </c>
      <c r="F38" s="330">
        <f t="shared" ref="F38:F44" si="9">E38*26</f>
        <v>182</v>
      </c>
      <c r="G38" s="330">
        <v>1</v>
      </c>
      <c r="H38" s="332">
        <f t="shared" ref="H38:H50" si="10">F38/G38</f>
        <v>182</v>
      </c>
      <c r="I38" s="361">
        <f t="shared" ref="I38:I50" si="11">J38/H38*$K$2*8/7</f>
        <v>34536.89167974882</v>
      </c>
      <c r="J38" s="332">
        <f t="shared" ref="J38:J43" si="12">L38-K38</f>
        <v>5500000</v>
      </c>
      <c r="K38" s="332"/>
      <c r="L38" s="409">
        <v>5500000</v>
      </c>
      <c r="M38" s="326">
        <v>5000000</v>
      </c>
      <c r="N38" s="333">
        <f t="shared" ref="N38:N43" si="13">J38/H38</f>
        <v>30219.780219780219</v>
      </c>
      <c r="P38" s="334">
        <f>I38*8</f>
        <v>276295.13343799056</v>
      </c>
      <c r="Q38" s="335">
        <f>I38*4</f>
        <v>138147.56671899528</v>
      </c>
      <c r="R38" s="334">
        <f>Q38*1.5</f>
        <v>207221.35007849292</v>
      </c>
    </row>
    <row r="39" spans="1:18" s="334" customFormat="1">
      <c r="A39" s="330">
        <v>2</v>
      </c>
      <c r="B39" s="338" t="s">
        <v>5</v>
      </c>
      <c r="C39" s="331" t="s">
        <v>684</v>
      </c>
      <c r="D39" s="331" t="s">
        <v>671</v>
      </c>
      <c r="E39" s="330">
        <v>7</v>
      </c>
      <c r="F39" s="330">
        <f t="shared" si="9"/>
        <v>182</v>
      </c>
      <c r="G39" s="330">
        <v>1</v>
      </c>
      <c r="H39" s="332">
        <f t="shared" si="10"/>
        <v>182</v>
      </c>
      <c r="I39" s="361">
        <f t="shared" si="11"/>
        <v>35478.806907378334</v>
      </c>
      <c r="J39" s="332">
        <f t="shared" si="12"/>
        <v>5650000</v>
      </c>
      <c r="K39" s="332"/>
      <c r="L39" s="409">
        <v>5650000</v>
      </c>
      <c r="M39" s="326">
        <v>5000000</v>
      </c>
      <c r="N39" s="333">
        <f t="shared" si="13"/>
        <v>31043.956043956045</v>
      </c>
      <c r="Q39" s="335">
        <f>3745000/26/8*4*1.5</f>
        <v>108028.84615384616</v>
      </c>
    </row>
    <row r="40" spans="1:18" s="334" customFormat="1">
      <c r="A40" s="330">
        <v>3</v>
      </c>
      <c r="B40" s="338" t="s">
        <v>5</v>
      </c>
      <c r="C40" s="331" t="s">
        <v>685</v>
      </c>
      <c r="D40" s="331"/>
      <c r="E40" s="330">
        <v>7</v>
      </c>
      <c r="F40" s="330">
        <f t="shared" si="9"/>
        <v>182</v>
      </c>
      <c r="G40" s="330">
        <v>1</v>
      </c>
      <c r="H40" s="332">
        <f t="shared" si="10"/>
        <v>182</v>
      </c>
      <c r="I40" s="361">
        <f t="shared" si="11"/>
        <v>34536.89167974882</v>
      </c>
      <c r="J40" s="332">
        <f t="shared" si="12"/>
        <v>5500000</v>
      </c>
      <c r="K40" s="332"/>
      <c r="L40" s="409">
        <v>5500000</v>
      </c>
      <c r="M40" s="326">
        <v>5000000</v>
      </c>
      <c r="N40" s="333">
        <f t="shared" si="13"/>
        <v>30219.780219780219</v>
      </c>
      <c r="Q40" s="335">
        <f>SUM(Q38:Q39)</f>
        <v>246176.41287284144</v>
      </c>
      <c r="R40" s="385">
        <f>(Q40-R38)/R38</f>
        <v>0.18798768939393945</v>
      </c>
    </row>
    <row r="41" spans="1:18" s="334" customFormat="1">
      <c r="A41" s="330">
        <v>4</v>
      </c>
      <c r="B41" s="338" t="s">
        <v>5</v>
      </c>
      <c r="C41" s="331" t="s">
        <v>686</v>
      </c>
      <c r="D41" s="331"/>
      <c r="E41" s="330">
        <v>7</v>
      </c>
      <c r="F41" s="330">
        <f t="shared" si="9"/>
        <v>182</v>
      </c>
      <c r="G41" s="330">
        <v>1</v>
      </c>
      <c r="H41" s="332">
        <f t="shared" si="10"/>
        <v>182</v>
      </c>
      <c r="I41" s="361">
        <f t="shared" si="11"/>
        <v>34536.89167974882</v>
      </c>
      <c r="J41" s="332">
        <f t="shared" si="12"/>
        <v>5500000</v>
      </c>
      <c r="K41" s="332"/>
      <c r="L41" s="409">
        <v>5500000</v>
      </c>
      <c r="M41" s="326">
        <v>5000000</v>
      </c>
      <c r="N41" s="333">
        <f t="shared" si="13"/>
        <v>30219.780219780219</v>
      </c>
      <c r="Q41" s="335"/>
    </row>
    <row r="42" spans="1:18" s="334" customFormat="1">
      <c r="A42" s="330">
        <v>5</v>
      </c>
      <c r="B42" s="338" t="s">
        <v>5</v>
      </c>
      <c r="C42" s="331" t="s">
        <v>687</v>
      </c>
      <c r="D42" s="331"/>
      <c r="E42" s="330">
        <v>7</v>
      </c>
      <c r="F42" s="330">
        <f t="shared" si="9"/>
        <v>182</v>
      </c>
      <c r="G42" s="330">
        <v>1</v>
      </c>
      <c r="H42" s="332">
        <f t="shared" si="10"/>
        <v>182</v>
      </c>
      <c r="I42" s="361">
        <f t="shared" si="11"/>
        <v>31397.174254317109</v>
      </c>
      <c r="J42" s="332">
        <f t="shared" si="12"/>
        <v>5000000</v>
      </c>
      <c r="K42" s="332"/>
      <c r="L42" s="409">
        <v>5000000</v>
      </c>
      <c r="M42" s="326">
        <v>4500000</v>
      </c>
      <c r="N42" s="333">
        <f t="shared" si="13"/>
        <v>27472.527472527472</v>
      </c>
      <c r="Q42" s="335"/>
    </row>
    <row r="43" spans="1:18" s="334" customFormat="1">
      <c r="A43" s="330">
        <v>6</v>
      </c>
      <c r="B43" s="338" t="s">
        <v>5</v>
      </c>
      <c r="C43" s="331" t="s">
        <v>688</v>
      </c>
      <c r="D43" s="331"/>
      <c r="E43" s="330">
        <v>7</v>
      </c>
      <c r="F43" s="330">
        <f t="shared" si="9"/>
        <v>182</v>
      </c>
      <c r="G43" s="330">
        <v>1</v>
      </c>
      <c r="H43" s="332">
        <f t="shared" si="10"/>
        <v>182</v>
      </c>
      <c r="I43" s="361">
        <f t="shared" si="11"/>
        <v>31397.174254317109</v>
      </c>
      <c r="J43" s="332">
        <f t="shared" si="12"/>
        <v>5000000</v>
      </c>
      <c r="K43" s="332"/>
      <c r="L43" s="409">
        <v>5000000</v>
      </c>
      <c r="M43" s="326">
        <v>4500000</v>
      </c>
      <c r="N43" s="333">
        <f t="shared" si="13"/>
        <v>27472.527472527472</v>
      </c>
      <c r="P43" s="386">
        <f>I38*8</f>
        <v>276295.13343799056</v>
      </c>
      <c r="Q43" s="335"/>
    </row>
    <row r="44" spans="1:18" s="322" customFormat="1">
      <c r="A44" s="319">
        <v>1</v>
      </c>
      <c r="B44" s="339" t="s">
        <v>6</v>
      </c>
      <c r="C44" s="320" t="s">
        <v>693</v>
      </c>
      <c r="D44" s="320"/>
      <c r="E44" s="319">
        <v>7</v>
      </c>
      <c r="F44" s="319">
        <f t="shared" si="9"/>
        <v>182</v>
      </c>
      <c r="G44" s="319">
        <v>1</v>
      </c>
      <c r="H44" s="306">
        <f t="shared" si="10"/>
        <v>182</v>
      </c>
      <c r="I44" s="362">
        <f t="shared" si="11"/>
        <v>36420.722135007854</v>
      </c>
      <c r="J44" s="306">
        <f t="shared" ref="J44:J49" si="14">L44-K44</f>
        <v>5800000</v>
      </c>
      <c r="K44" s="306"/>
      <c r="L44" s="409">
        <v>5800000</v>
      </c>
      <c r="M44" s="328"/>
      <c r="N44" s="321">
        <f t="shared" si="7"/>
        <v>31868.13186813187</v>
      </c>
      <c r="P44" s="386">
        <f>L50/26</f>
        <v>240384.61538461538</v>
      </c>
      <c r="Q44" s="323">
        <f>P44/7</f>
        <v>34340.659340659338</v>
      </c>
      <c r="R44" s="387">
        <f>Q44*8</f>
        <v>274725.27472527471</v>
      </c>
    </row>
    <row r="45" spans="1:18" s="322" customFormat="1">
      <c r="A45" s="319">
        <v>2</v>
      </c>
      <c r="B45" s="339" t="s">
        <v>6</v>
      </c>
      <c r="C45" s="320" t="s">
        <v>692</v>
      </c>
      <c r="D45" s="320" t="s">
        <v>671</v>
      </c>
      <c r="E45" s="319">
        <v>7</v>
      </c>
      <c r="F45" s="319">
        <f t="shared" ref="F45:F59" si="15">E45*26</f>
        <v>182</v>
      </c>
      <c r="G45" s="319">
        <v>1</v>
      </c>
      <c r="H45" s="306">
        <f t="shared" si="10"/>
        <v>182</v>
      </c>
      <c r="I45" s="362">
        <f t="shared" si="11"/>
        <v>37362.637362637361</v>
      </c>
      <c r="J45" s="306">
        <f t="shared" si="14"/>
        <v>5950000</v>
      </c>
      <c r="K45" s="306"/>
      <c r="L45" s="409">
        <v>5950000</v>
      </c>
      <c r="M45" s="328"/>
      <c r="N45" s="321">
        <f t="shared" si="7"/>
        <v>32692.307692307691</v>
      </c>
      <c r="Q45" s="323"/>
      <c r="R45" s="387">
        <f>R44/7</f>
        <v>39246.467817896388</v>
      </c>
    </row>
    <row r="46" spans="1:18" s="322" customFormat="1">
      <c r="A46" s="319">
        <v>3</v>
      </c>
      <c r="B46" s="339" t="s">
        <v>6</v>
      </c>
      <c r="C46" s="320" t="s">
        <v>689</v>
      </c>
      <c r="D46" s="320"/>
      <c r="E46" s="319">
        <v>7</v>
      </c>
      <c r="F46" s="319">
        <f t="shared" si="15"/>
        <v>182</v>
      </c>
      <c r="G46" s="319">
        <v>1</v>
      </c>
      <c r="H46" s="306">
        <f t="shared" si="10"/>
        <v>182</v>
      </c>
      <c r="I46" s="362">
        <f t="shared" si="11"/>
        <v>36420.722135007854</v>
      </c>
      <c r="J46" s="306">
        <f t="shared" si="14"/>
        <v>5800000</v>
      </c>
      <c r="K46" s="306"/>
      <c r="L46" s="409">
        <v>5800000</v>
      </c>
      <c r="M46" s="328"/>
      <c r="N46" s="321">
        <f t="shared" si="7"/>
        <v>31868.13186813187</v>
      </c>
      <c r="Q46" s="323">
        <f>R46*26</f>
        <v>8163265.3061224483</v>
      </c>
      <c r="R46" s="387">
        <f>R45*8</f>
        <v>313971.7425431711</v>
      </c>
    </row>
    <row r="47" spans="1:18" s="322" customFormat="1">
      <c r="A47" s="319">
        <v>4</v>
      </c>
      <c r="B47" s="339" t="s">
        <v>6</v>
      </c>
      <c r="C47" s="320" t="s">
        <v>690</v>
      </c>
      <c r="D47" s="320"/>
      <c r="E47" s="319">
        <v>7</v>
      </c>
      <c r="F47" s="319">
        <f t="shared" si="15"/>
        <v>182</v>
      </c>
      <c r="G47" s="319">
        <v>1</v>
      </c>
      <c r="H47" s="306">
        <f t="shared" si="10"/>
        <v>182</v>
      </c>
      <c r="I47" s="362">
        <f t="shared" si="11"/>
        <v>36420.722135007854</v>
      </c>
      <c r="J47" s="306">
        <f t="shared" si="14"/>
        <v>5800000</v>
      </c>
      <c r="K47" s="306"/>
      <c r="L47" s="409">
        <v>5800000</v>
      </c>
      <c r="M47" s="328"/>
      <c r="N47" s="321">
        <f t="shared" si="7"/>
        <v>31868.13186813187</v>
      </c>
      <c r="Q47" s="323">
        <f>I50*8*26</f>
        <v>8163265.3061224483</v>
      </c>
      <c r="R47" s="387">
        <f>R46-R44</f>
        <v>39246.467817896395</v>
      </c>
    </row>
    <row r="48" spans="1:18" s="322" customFormat="1">
      <c r="A48" s="319">
        <v>5</v>
      </c>
      <c r="B48" s="339" t="s">
        <v>6</v>
      </c>
      <c r="C48" s="320" t="s">
        <v>690</v>
      </c>
      <c r="D48" s="320"/>
      <c r="E48" s="319">
        <v>7</v>
      </c>
      <c r="F48" s="319">
        <f t="shared" si="15"/>
        <v>182</v>
      </c>
      <c r="G48" s="319">
        <v>1</v>
      </c>
      <c r="H48" s="306">
        <f t="shared" si="10"/>
        <v>182</v>
      </c>
      <c r="I48" s="362">
        <f t="shared" si="11"/>
        <v>33281.00470957614</v>
      </c>
      <c r="J48" s="306">
        <f t="shared" si="14"/>
        <v>5300000</v>
      </c>
      <c r="K48" s="306"/>
      <c r="L48" s="409">
        <v>5300000</v>
      </c>
      <c r="M48" s="328"/>
      <c r="N48" s="321">
        <f t="shared" si="7"/>
        <v>29120.879120879123</v>
      </c>
      <c r="Q48" s="323"/>
    </row>
    <row r="49" spans="1:17" s="322" customFormat="1">
      <c r="A49" s="319">
        <v>6</v>
      </c>
      <c r="B49" s="339" t="s">
        <v>6</v>
      </c>
      <c r="C49" s="320" t="s">
        <v>691</v>
      </c>
      <c r="D49" s="320"/>
      <c r="E49" s="319">
        <v>7</v>
      </c>
      <c r="F49" s="319">
        <f t="shared" si="15"/>
        <v>182</v>
      </c>
      <c r="G49" s="319">
        <v>1</v>
      </c>
      <c r="H49" s="306">
        <f t="shared" si="10"/>
        <v>182</v>
      </c>
      <c r="I49" s="362">
        <f t="shared" si="11"/>
        <v>33281.00470957614</v>
      </c>
      <c r="J49" s="306">
        <f t="shared" si="14"/>
        <v>5300000</v>
      </c>
      <c r="K49" s="306"/>
      <c r="L49" s="409">
        <v>5300000</v>
      </c>
      <c r="M49" s="328"/>
      <c r="N49" s="321">
        <f t="shared" si="7"/>
        <v>29120.879120879123</v>
      </c>
      <c r="Q49" s="323"/>
    </row>
    <row r="50" spans="1:17" s="328" customFormat="1">
      <c r="A50" s="324">
        <v>2</v>
      </c>
      <c r="B50" s="340" t="s">
        <v>8</v>
      </c>
      <c r="C50" s="325" t="s">
        <v>694</v>
      </c>
      <c r="D50" s="325" t="s">
        <v>671</v>
      </c>
      <c r="E50" s="324">
        <v>7</v>
      </c>
      <c r="F50" s="324">
        <f>E50*26</f>
        <v>182</v>
      </c>
      <c r="G50" s="324">
        <v>1</v>
      </c>
      <c r="H50" s="326">
        <f t="shared" si="10"/>
        <v>182</v>
      </c>
      <c r="I50" s="363">
        <f t="shared" si="11"/>
        <v>39246.467817896388</v>
      </c>
      <c r="J50" s="326">
        <f>L50-K50</f>
        <v>6250000</v>
      </c>
      <c r="K50" s="326"/>
      <c r="L50" s="409">
        <f>L45+300000</f>
        <v>6250000</v>
      </c>
      <c r="N50" s="327">
        <f>J50/H50</f>
        <v>34340.659340659338</v>
      </c>
      <c r="Q50" s="329"/>
    </row>
    <row r="51" spans="1:17">
      <c r="A51" s="37" t="s">
        <v>10</v>
      </c>
      <c r="B51" s="337"/>
      <c r="C51" s="38" t="s">
        <v>288</v>
      </c>
      <c r="D51" s="38"/>
      <c r="E51" s="38"/>
      <c r="F51" s="38"/>
      <c r="G51" s="38"/>
      <c r="H51" s="40"/>
      <c r="I51" s="40"/>
      <c r="J51" s="40"/>
      <c r="K51" s="40"/>
      <c r="L51" s="409"/>
      <c r="M51" s="326"/>
      <c r="N51" s="206"/>
    </row>
    <row r="52" spans="1:17">
      <c r="A52" s="3">
        <v>1</v>
      </c>
      <c r="B52" s="28"/>
      <c r="C52" s="35" t="s">
        <v>289</v>
      </c>
      <c r="D52" s="35"/>
      <c r="E52" s="22">
        <v>40000</v>
      </c>
      <c r="F52" s="22">
        <f>E52*26</f>
        <v>1040000</v>
      </c>
      <c r="G52" s="3">
        <v>3</v>
      </c>
      <c r="H52" s="743">
        <f>F52/G52</f>
        <v>346666.66666666669</v>
      </c>
      <c r="I52" s="360">
        <f>J52/H52*$K$2</f>
        <v>15.576923076923077</v>
      </c>
      <c r="J52" s="22">
        <f>L52-K52</f>
        <v>5400000</v>
      </c>
      <c r="K52" s="22"/>
      <c r="L52" s="409">
        <v>5400000</v>
      </c>
      <c r="M52" s="326">
        <v>5200000</v>
      </c>
      <c r="N52" s="206">
        <f>J52/H52</f>
        <v>15.576923076923077</v>
      </c>
      <c r="P52">
        <f>15000*26</f>
        <v>390000</v>
      </c>
      <c r="Q52" s="30">
        <f>+P52*I52</f>
        <v>6075000</v>
      </c>
    </row>
    <row r="53" spans="1:17">
      <c r="A53" s="3">
        <v>2</v>
      </c>
      <c r="B53" s="28"/>
      <c r="C53" s="35" t="s">
        <v>290</v>
      </c>
      <c r="D53" s="35"/>
      <c r="E53" s="22">
        <v>40000</v>
      </c>
      <c r="F53" s="22">
        <f>E53*26</f>
        <v>1040000</v>
      </c>
      <c r="G53" s="3">
        <v>3</v>
      </c>
      <c r="H53" s="22">
        <f>F53/G53</f>
        <v>346666.66666666669</v>
      </c>
      <c r="I53" s="360">
        <f t="shared" si="3"/>
        <v>15.576923076923077</v>
      </c>
      <c r="J53" s="22">
        <f>L53-K53</f>
        <v>5400000</v>
      </c>
      <c r="K53" s="22"/>
      <c r="L53" s="409">
        <v>5400000</v>
      </c>
      <c r="M53" s="326">
        <v>5200000</v>
      </c>
      <c r="N53" s="206">
        <f t="shared" si="7"/>
        <v>15.576923076923077</v>
      </c>
    </row>
    <row r="54" spans="1:17">
      <c r="A54" s="3">
        <v>3</v>
      </c>
      <c r="B54" s="28"/>
      <c r="C54" s="35" t="s">
        <v>291</v>
      </c>
      <c r="D54" s="35"/>
      <c r="E54" s="22">
        <v>40000</v>
      </c>
      <c r="F54" s="22">
        <f>E54*26</f>
        <v>1040000</v>
      </c>
      <c r="G54" s="3">
        <v>3</v>
      </c>
      <c r="H54" s="22">
        <f>F54/G54</f>
        <v>346666.66666666669</v>
      </c>
      <c r="I54" s="360">
        <f t="shared" si="3"/>
        <v>15.576923076923077</v>
      </c>
      <c r="J54" s="22">
        <f>L54-K54</f>
        <v>5400000</v>
      </c>
      <c r="K54" s="22"/>
      <c r="L54" s="409">
        <v>5400000</v>
      </c>
      <c r="M54" s="326">
        <v>5200000</v>
      </c>
      <c r="N54" s="206">
        <f t="shared" si="7"/>
        <v>15.576923076923077</v>
      </c>
    </row>
    <row r="55" spans="1:17">
      <c r="A55" s="3">
        <v>4</v>
      </c>
      <c r="B55" s="28"/>
      <c r="C55" s="35" t="s">
        <v>292</v>
      </c>
      <c r="D55" s="35"/>
      <c r="E55" s="22">
        <v>40000</v>
      </c>
      <c r="F55" s="22">
        <f>E55*26</f>
        <v>1040000</v>
      </c>
      <c r="G55" s="3">
        <v>3</v>
      </c>
      <c r="H55" s="22">
        <f>F55/G55</f>
        <v>346666.66666666669</v>
      </c>
      <c r="I55" s="360">
        <f t="shared" si="3"/>
        <v>15.576923076923077</v>
      </c>
      <c r="J55" s="22">
        <f>L55-K55</f>
        <v>5400000</v>
      </c>
      <c r="K55" s="22"/>
      <c r="L55" s="409">
        <v>5400000</v>
      </c>
      <c r="M55" s="326">
        <v>5200000</v>
      </c>
      <c r="N55" s="206">
        <f t="shared" si="7"/>
        <v>15.576923076923077</v>
      </c>
    </row>
    <row r="56" spans="1:17">
      <c r="A56" s="37" t="s">
        <v>10</v>
      </c>
      <c r="B56" s="337"/>
      <c r="C56" s="38" t="s">
        <v>272</v>
      </c>
      <c r="D56" s="38"/>
      <c r="E56" s="38"/>
      <c r="F56" s="38"/>
      <c r="G56" s="38"/>
      <c r="H56" s="40"/>
      <c r="I56" s="40"/>
      <c r="J56" s="40"/>
      <c r="K56" s="40"/>
      <c r="L56" s="409"/>
      <c r="M56" s="326"/>
      <c r="N56" s="206"/>
    </row>
    <row r="57" spans="1:17">
      <c r="A57" s="3">
        <v>1</v>
      </c>
      <c r="B57" s="28"/>
      <c r="C57" s="35" t="s">
        <v>249</v>
      </c>
      <c r="D57" s="35"/>
      <c r="E57" s="3">
        <v>8</v>
      </c>
      <c r="F57" s="3">
        <f t="shared" si="15"/>
        <v>208</v>
      </c>
      <c r="G57" s="3">
        <v>1</v>
      </c>
      <c r="H57" s="22">
        <f>F57/G57</f>
        <v>208</v>
      </c>
      <c r="I57" s="360">
        <f t="shared" si="3"/>
        <v>25000</v>
      </c>
      <c r="J57" s="22">
        <f>L57-K57</f>
        <v>5200000</v>
      </c>
      <c r="K57" s="22"/>
      <c r="L57" s="409">
        <v>5200000</v>
      </c>
      <c r="M57" s="326">
        <v>5000000</v>
      </c>
      <c r="N57" s="206">
        <f t="shared" si="7"/>
        <v>25000</v>
      </c>
    </row>
    <row r="58" spans="1:17">
      <c r="A58" s="3">
        <v>2</v>
      </c>
      <c r="B58" s="28"/>
      <c r="C58" s="35" t="s">
        <v>250</v>
      </c>
      <c r="D58" s="35"/>
      <c r="E58" s="3">
        <v>8</v>
      </c>
      <c r="F58" s="3">
        <f t="shared" si="15"/>
        <v>208</v>
      </c>
      <c r="G58" s="3">
        <v>1</v>
      </c>
      <c r="H58" s="22">
        <f>F58/G58</f>
        <v>208</v>
      </c>
      <c r="I58" s="360">
        <f t="shared" si="3"/>
        <v>25000</v>
      </c>
      <c r="J58" s="22">
        <f>L58-K58</f>
        <v>5200000</v>
      </c>
      <c r="K58" s="22"/>
      <c r="L58" s="409">
        <v>5200000</v>
      </c>
      <c r="M58" s="326">
        <v>5000000</v>
      </c>
      <c r="N58" s="206">
        <f t="shared" si="7"/>
        <v>25000</v>
      </c>
    </row>
    <row r="59" spans="1:17">
      <c r="A59" s="3">
        <v>4</v>
      </c>
      <c r="B59" s="28"/>
      <c r="C59" s="35" t="s">
        <v>251</v>
      </c>
      <c r="D59" s="35"/>
      <c r="E59" s="3">
        <v>8</v>
      </c>
      <c r="F59" s="3">
        <f t="shared" si="15"/>
        <v>208</v>
      </c>
      <c r="G59" s="3">
        <v>1</v>
      </c>
      <c r="H59" s="22">
        <f>F59/G59</f>
        <v>208</v>
      </c>
      <c r="I59" s="360">
        <f t="shared" si="3"/>
        <v>25000</v>
      </c>
      <c r="J59" s="22">
        <f>L59-K59</f>
        <v>5200000</v>
      </c>
      <c r="K59" s="22"/>
      <c r="L59" s="409">
        <v>5200000</v>
      </c>
      <c r="M59" s="326">
        <v>5000000</v>
      </c>
      <c r="N59" s="206">
        <f t="shared" si="7"/>
        <v>25000</v>
      </c>
    </row>
    <row r="60" spans="1:17">
      <c r="A60" s="37" t="s">
        <v>274</v>
      </c>
      <c r="B60" s="337"/>
      <c r="C60" s="38" t="s">
        <v>273</v>
      </c>
      <c r="D60" s="38"/>
      <c r="E60" s="38"/>
      <c r="F60" s="38"/>
      <c r="G60" s="38"/>
      <c r="H60" s="40"/>
      <c r="I60" s="40"/>
      <c r="J60" s="40"/>
      <c r="K60" s="40"/>
      <c r="L60" s="409"/>
      <c r="M60" s="326"/>
      <c r="N60" s="206"/>
    </row>
    <row r="61" spans="1:17">
      <c r="A61" s="3">
        <v>1</v>
      </c>
      <c r="B61" s="28"/>
      <c r="C61" s="3" t="s">
        <v>244</v>
      </c>
      <c r="D61" s="3"/>
      <c r="E61" s="3">
        <v>8</v>
      </c>
      <c r="F61" s="3">
        <f>E61*26</f>
        <v>208</v>
      </c>
      <c r="G61" s="3">
        <v>1</v>
      </c>
      <c r="H61" s="22">
        <f>F61/G61</f>
        <v>208</v>
      </c>
      <c r="I61" s="360">
        <f t="shared" si="3"/>
        <v>22596.153846153848</v>
      </c>
      <c r="J61" s="22">
        <f>L61-K61</f>
        <v>4700000</v>
      </c>
      <c r="K61" s="22"/>
      <c r="L61" s="409">
        <v>4700000</v>
      </c>
      <c r="M61" s="326">
        <v>4200000</v>
      </c>
      <c r="N61" s="206">
        <f t="shared" si="7"/>
        <v>22596.153846153848</v>
      </c>
    </row>
    <row r="62" spans="1:17">
      <c r="A62" s="3">
        <v>2</v>
      </c>
      <c r="B62" s="28"/>
      <c r="C62" s="3" t="s">
        <v>245</v>
      </c>
      <c r="D62" s="3"/>
      <c r="E62" s="3">
        <v>8</v>
      </c>
      <c r="F62" s="3">
        <f t="shared" ref="F62:F74" si="16">E62*26</f>
        <v>208</v>
      </c>
      <c r="G62" s="3">
        <v>1</v>
      </c>
      <c r="H62" s="22">
        <f t="shared" ref="H62:H70" si="17">F62/G62</f>
        <v>208</v>
      </c>
      <c r="I62" s="360">
        <f t="shared" si="3"/>
        <v>21634.615384615383</v>
      </c>
      <c r="J62" s="22">
        <f t="shared" ref="J62:J70" si="18">L62-K62</f>
        <v>4500000</v>
      </c>
      <c r="K62" s="22"/>
      <c r="L62" s="409">
        <v>4500000</v>
      </c>
      <c r="M62" s="326">
        <v>4000000</v>
      </c>
      <c r="N62" s="206">
        <f t="shared" si="7"/>
        <v>21634.615384615383</v>
      </c>
    </row>
    <row r="63" spans="1:17">
      <c r="A63" s="3">
        <v>3</v>
      </c>
      <c r="B63" s="28"/>
      <c r="C63" s="3" t="s">
        <v>246</v>
      </c>
      <c r="D63" s="3"/>
      <c r="E63" s="3">
        <v>8</v>
      </c>
      <c r="F63" s="3">
        <f t="shared" si="16"/>
        <v>208</v>
      </c>
      <c r="G63" s="3">
        <v>1</v>
      </c>
      <c r="H63" s="22">
        <f t="shared" si="17"/>
        <v>208</v>
      </c>
      <c r="I63" s="360">
        <f t="shared" si="3"/>
        <v>22596.153846153848</v>
      </c>
      <c r="J63" s="22">
        <f t="shared" si="18"/>
        <v>4700000</v>
      </c>
      <c r="K63" s="22"/>
      <c r="L63" s="409">
        <v>4700000</v>
      </c>
      <c r="M63" s="326">
        <v>4200000</v>
      </c>
      <c r="N63" s="206">
        <f t="shared" si="7"/>
        <v>22596.153846153848</v>
      </c>
    </row>
    <row r="64" spans="1:17">
      <c r="A64" s="3">
        <v>4</v>
      </c>
      <c r="B64" s="341"/>
      <c r="C64" s="35" t="s">
        <v>247</v>
      </c>
      <c r="D64" s="35"/>
      <c r="E64" s="3">
        <v>8</v>
      </c>
      <c r="F64" s="3">
        <f t="shared" si="16"/>
        <v>208</v>
      </c>
      <c r="G64" s="3">
        <v>1</v>
      </c>
      <c r="H64" s="22">
        <f t="shared" si="17"/>
        <v>208</v>
      </c>
      <c r="I64" s="360">
        <f t="shared" si="3"/>
        <v>21634.615384615383</v>
      </c>
      <c r="J64" s="22">
        <f t="shared" si="18"/>
        <v>4500000</v>
      </c>
      <c r="K64" s="22"/>
      <c r="L64" s="409">
        <v>4500000</v>
      </c>
      <c r="M64" s="326">
        <v>4000000</v>
      </c>
      <c r="N64" s="206">
        <f t="shared" si="7"/>
        <v>21634.615384615383</v>
      </c>
      <c r="P64">
        <f>26*8</f>
        <v>208</v>
      </c>
      <c r="Q64" s="30">
        <f>+P64*I64</f>
        <v>4500000</v>
      </c>
    </row>
    <row r="65" spans="1:14">
      <c r="A65" s="3">
        <v>5</v>
      </c>
      <c r="B65" s="341"/>
      <c r="C65" s="35" t="s">
        <v>248</v>
      </c>
      <c r="D65" s="35"/>
      <c r="E65" s="3">
        <v>8</v>
      </c>
      <c r="F65" s="3">
        <f t="shared" si="16"/>
        <v>208</v>
      </c>
      <c r="G65" s="3">
        <v>1</v>
      </c>
      <c r="H65" s="22">
        <f t="shared" si="17"/>
        <v>208</v>
      </c>
      <c r="I65" s="360">
        <f t="shared" si="3"/>
        <v>21634.615384615383</v>
      </c>
      <c r="J65" s="22">
        <f t="shared" si="18"/>
        <v>4500000</v>
      </c>
      <c r="K65" s="22"/>
      <c r="L65" s="409">
        <v>4500000</v>
      </c>
      <c r="M65" s="326">
        <v>4000000</v>
      </c>
      <c r="N65" s="206">
        <f t="shared" si="7"/>
        <v>21634.615384615383</v>
      </c>
    </row>
    <row r="66" spans="1:14">
      <c r="A66" s="3">
        <v>6</v>
      </c>
      <c r="B66" s="341"/>
      <c r="C66" s="35" t="s">
        <v>252</v>
      </c>
      <c r="D66" s="35"/>
      <c r="E66" s="3">
        <v>8</v>
      </c>
      <c r="F66" s="3">
        <f t="shared" si="16"/>
        <v>208</v>
      </c>
      <c r="G66" s="3">
        <v>1</v>
      </c>
      <c r="H66" s="22">
        <f t="shared" si="17"/>
        <v>208</v>
      </c>
      <c r="I66" s="360">
        <f t="shared" si="3"/>
        <v>22596.153846153848</v>
      </c>
      <c r="J66" s="22">
        <f t="shared" si="18"/>
        <v>4700000</v>
      </c>
      <c r="K66" s="22"/>
      <c r="L66" s="409">
        <v>4700000</v>
      </c>
      <c r="M66" s="326">
        <v>4200000</v>
      </c>
      <c r="N66" s="206">
        <f t="shared" si="7"/>
        <v>22596.153846153848</v>
      </c>
    </row>
    <row r="67" spans="1:14">
      <c r="A67" s="3">
        <v>7</v>
      </c>
      <c r="B67" s="341"/>
      <c r="C67" s="35" t="s">
        <v>258</v>
      </c>
      <c r="D67" s="35"/>
      <c r="E67" s="3">
        <v>8</v>
      </c>
      <c r="F67" s="3">
        <f t="shared" si="16"/>
        <v>208</v>
      </c>
      <c r="G67" s="3">
        <v>1</v>
      </c>
      <c r="H67" s="22">
        <f t="shared" si="17"/>
        <v>208</v>
      </c>
      <c r="I67" s="360">
        <f t="shared" si="3"/>
        <v>21634.615384615383</v>
      </c>
      <c r="J67" s="22">
        <f t="shared" si="18"/>
        <v>4500000</v>
      </c>
      <c r="K67" s="22"/>
      <c r="L67" s="409">
        <v>4500000</v>
      </c>
      <c r="M67" s="326">
        <v>4000000</v>
      </c>
      <c r="N67" s="206">
        <f t="shared" si="7"/>
        <v>21634.615384615383</v>
      </c>
    </row>
    <row r="68" spans="1:14">
      <c r="A68" s="3">
        <v>8</v>
      </c>
      <c r="B68" s="341"/>
      <c r="C68" s="35" t="s">
        <v>259</v>
      </c>
      <c r="D68" s="35"/>
      <c r="E68" s="3">
        <v>8</v>
      </c>
      <c r="F68" s="3">
        <f t="shared" si="16"/>
        <v>208</v>
      </c>
      <c r="G68" s="3">
        <v>1</v>
      </c>
      <c r="H68" s="22">
        <f t="shared" si="17"/>
        <v>208</v>
      </c>
      <c r="I68" s="360">
        <f t="shared" si="3"/>
        <v>22596.153846153848</v>
      </c>
      <c r="J68" s="22">
        <f t="shared" si="18"/>
        <v>4700000</v>
      </c>
      <c r="K68" s="22"/>
      <c r="L68" s="409">
        <v>4700000</v>
      </c>
      <c r="M68" s="326">
        <v>4200000</v>
      </c>
      <c r="N68" s="206">
        <f t="shared" si="7"/>
        <v>22596.153846153848</v>
      </c>
    </row>
    <row r="69" spans="1:14">
      <c r="A69" s="3">
        <v>9</v>
      </c>
      <c r="B69" s="341"/>
      <c r="C69" s="35" t="s">
        <v>260</v>
      </c>
      <c r="D69" s="35"/>
      <c r="E69" s="3">
        <v>8</v>
      </c>
      <c r="F69" s="3">
        <f t="shared" si="16"/>
        <v>208</v>
      </c>
      <c r="G69" s="3">
        <v>1</v>
      </c>
      <c r="H69" s="22">
        <f t="shared" si="17"/>
        <v>208</v>
      </c>
      <c r="I69" s="360">
        <f t="shared" si="3"/>
        <v>22596.153846153848</v>
      </c>
      <c r="J69" s="22">
        <f t="shared" si="18"/>
        <v>4700000</v>
      </c>
      <c r="K69" s="22"/>
      <c r="L69" s="409">
        <v>4700000</v>
      </c>
      <c r="M69" s="326">
        <v>4200000</v>
      </c>
      <c r="N69" s="206">
        <f t="shared" si="7"/>
        <v>22596.153846153848</v>
      </c>
    </row>
    <row r="70" spans="1:14">
      <c r="A70" s="3">
        <v>10</v>
      </c>
      <c r="B70" s="341"/>
      <c r="C70" s="35" t="s">
        <v>261</v>
      </c>
      <c r="D70" s="35"/>
      <c r="E70" s="3">
        <v>8</v>
      </c>
      <c r="F70" s="3">
        <f t="shared" si="16"/>
        <v>208</v>
      </c>
      <c r="G70" s="3">
        <v>1</v>
      </c>
      <c r="H70" s="22">
        <f t="shared" si="17"/>
        <v>208</v>
      </c>
      <c r="I70" s="360">
        <f t="shared" si="3"/>
        <v>21634.615384615383</v>
      </c>
      <c r="J70" s="22">
        <f t="shared" si="18"/>
        <v>4500000</v>
      </c>
      <c r="K70" s="22"/>
      <c r="L70" s="409">
        <v>4500000</v>
      </c>
      <c r="M70" s="326">
        <v>4000000</v>
      </c>
      <c r="N70" s="206">
        <f t="shared" si="7"/>
        <v>21634.615384615383</v>
      </c>
    </row>
    <row r="71" spans="1:14">
      <c r="A71" s="3">
        <v>11</v>
      </c>
      <c r="B71" s="341"/>
      <c r="C71" s="35" t="s">
        <v>312</v>
      </c>
      <c r="D71" s="35"/>
      <c r="E71" s="3">
        <v>8</v>
      </c>
      <c r="F71" s="3">
        <f t="shared" si="16"/>
        <v>208</v>
      </c>
      <c r="G71" s="3">
        <v>1</v>
      </c>
      <c r="H71" s="22">
        <f>F71/G71</f>
        <v>208</v>
      </c>
      <c r="I71" s="360">
        <f t="shared" si="3"/>
        <v>24038.461538461539</v>
      </c>
      <c r="J71" s="22">
        <f>L71-K71</f>
        <v>5000000</v>
      </c>
      <c r="K71" s="22"/>
      <c r="L71" s="409">
        <v>5000000</v>
      </c>
      <c r="M71" s="326">
        <v>4500000</v>
      </c>
      <c r="N71" s="206">
        <f t="shared" si="7"/>
        <v>24038.461538461539</v>
      </c>
    </row>
    <row r="72" spans="1:14">
      <c r="A72" s="3">
        <v>12</v>
      </c>
      <c r="B72" s="341"/>
      <c r="C72" s="35" t="s">
        <v>313</v>
      </c>
      <c r="D72" s="35"/>
      <c r="E72" s="3">
        <v>8</v>
      </c>
      <c r="F72" s="3">
        <f t="shared" si="16"/>
        <v>208</v>
      </c>
      <c r="G72" s="3">
        <v>1</v>
      </c>
      <c r="H72" s="22">
        <f>F72/G72</f>
        <v>208</v>
      </c>
      <c r="I72" s="360">
        <f t="shared" si="3"/>
        <v>22596.153846153848</v>
      </c>
      <c r="J72" s="22">
        <f>L72-K72</f>
        <v>4700000</v>
      </c>
      <c r="K72" s="22"/>
      <c r="L72" s="409">
        <v>4700000</v>
      </c>
      <c r="M72" s="326">
        <v>4200000</v>
      </c>
      <c r="N72" s="206">
        <f t="shared" si="7"/>
        <v>22596.153846153848</v>
      </c>
    </row>
    <row r="73" spans="1:14">
      <c r="A73" s="3">
        <v>13</v>
      </c>
      <c r="B73" s="341"/>
      <c r="C73" s="35" t="s">
        <v>319</v>
      </c>
      <c r="D73" s="35"/>
      <c r="E73" s="3">
        <v>8</v>
      </c>
      <c r="F73" s="3">
        <f t="shared" si="16"/>
        <v>208</v>
      </c>
      <c r="G73" s="3">
        <v>1</v>
      </c>
      <c r="H73" s="22">
        <f>F73/G73</f>
        <v>208</v>
      </c>
      <c r="I73" s="360">
        <f t="shared" si="3"/>
        <v>27403.846153846152</v>
      </c>
      <c r="J73" s="22">
        <f>L73-K73</f>
        <v>5700000</v>
      </c>
      <c r="K73" s="22"/>
      <c r="L73" s="409">
        <v>5700000</v>
      </c>
      <c r="M73" s="326">
        <v>5000000</v>
      </c>
      <c r="N73" s="206">
        <f t="shared" si="7"/>
        <v>27403.846153846152</v>
      </c>
    </row>
    <row r="74" spans="1:14">
      <c r="A74" s="3">
        <v>14</v>
      </c>
      <c r="B74" s="341"/>
      <c r="C74" s="35" t="s">
        <v>318</v>
      </c>
      <c r="D74" s="35"/>
      <c r="E74" s="3">
        <v>8</v>
      </c>
      <c r="F74" s="3">
        <f t="shared" si="16"/>
        <v>208</v>
      </c>
      <c r="G74" s="3">
        <v>1</v>
      </c>
      <c r="H74" s="22">
        <f>F74/G74</f>
        <v>208</v>
      </c>
      <c r="I74" s="360">
        <f t="shared" si="3"/>
        <v>27403.846153846152</v>
      </c>
      <c r="J74" s="22">
        <f>L74-K74</f>
        <v>5700000</v>
      </c>
      <c r="K74" s="22"/>
      <c r="L74" s="409">
        <v>5700000</v>
      </c>
      <c r="M74" s="326">
        <v>5000000</v>
      </c>
      <c r="N74" s="206">
        <f t="shared" si="7"/>
        <v>27403.846153846152</v>
      </c>
    </row>
    <row r="75" spans="1:14">
      <c r="N75" s="206"/>
    </row>
  </sheetData>
  <autoFilter ref="A3:M3"/>
  <pageMargins left="0.2" right="0.2" top="0.25" bottom="0.25" header="0.05" footer="0.2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CF101"/>
  <sheetViews>
    <sheetView zoomScale="85" zoomScaleNormal="85" workbookViewId="0">
      <pane xSplit="3" ySplit="4" topLeftCell="BH41" activePane="bottomRight" state="frozen"/>
      <selection activeCell="R40" sqref="R40"/>
      <selection pane="topRight" activeCell="R40" sqref="R40"/>
      <selection pane="bottomLeft" activeCell="R40" sqref="R40"/>
      <selection pane="bottomRight" activeCell="BU53" sqref="BU53"/>
    </sheetView>
  </sheetViews>
  <sheetFormatPr defaultRowHeight="14.4"/>
  <cols>
    <col min="1" max="1" width="4.6640625" customWidth="1"/>
    <col min="2" max="2" width="7.88671875" customWidth="1"/>
    <col min="3" max="3" width="18" bestFit="1" customWidth="1"/>
    <col min="4" max="4" width="11" style="85" bestFit="1" customWidth="1"/>
    <col min="5" max="5" width="7.88671875" bestFit="1" customWidth="1"/>
    <col min="6" max="6" width="8.6640625" bestFit="1" customWidth="1"/>
    <col min="7" max="7" width="13.33203125" bestFit="1" customWidth="1"/>
    <col min="8" max="8" width="8.88671875" bestFit="1" customWidth="1"/>
    <col min="9" max="9" width="7.88671875" bestFit="1" customWidth="1"/>
    <col min="10" max="10" width="8.88671875" bestFit="1" customWidth="1"/>
    <col min="11" max="11" width="7.88671875" bestFit="1" customWidth="1"/>
    <col min="12" max="14" width="6.88671875" bestFit="1" customWidth="1"/>
    <col min="15" max="15" width="7.88671875" bestFit="1" customWidth="1"/>
    <col min="16" max="17" width="7.6640625" bestFit="1" customWidth="1"/>
    <col min="18" max="18" width="9" customWidth="1"/>
    <col min="19" max="19" width="7.88671875" bestFit="1" customWidth="1"/>
    <col min="20" max="20" width="6.88671875" bestFit="1" customWidth="1"/>
    <col min="21" max="21" width="3.44140625" style="591" customWidth="1"/>
    <col min="22" max="24" width="8.88671875" bestFit="1" customWidth="1"/>
    <col min="25" max="25" width="10.44140625" bestFit="1" customWidth="1"/>
    <col min="26" max="26" width="8.88671875" bestFit="1" customWidth="1"/>
    <col min="27" max="27" width="10.44140625" bestFit="1" customWidth="1"/>
    <col min="28" max="28" width="7.44140625" bestFit="1" customWidth="1"/>
    <col min="29" max="31" width="8.88671875" bestFit="1" customWidth="1"/>
    <col min="32" max="32" width="7.88671875" bestFit="1" customWidth="1"/>
    <col min="33" max="33" width="6.88671875" bestFit="1" customWidth="1"/>
    <col min="34" max="36" width="7.44140625" bestFit="1" customWidth="1"/>
    <col min="37" max="37" width="2.6640625" style="591" customWidth="1"/>
    <col min="38" max="38" width="13.5546875" style="74" customWidth="1"/>
    <col min="39" max="39" width="15.88671875" customWidth="1"/>
    <col min="40" max="40" width="10" customWidth="1"/>
    <col min="41" max="41" width="12.88671875" bestFit="1" customWidth="1"/>
    <col min="42" max="42" width="2.6640625" style="591" customWidth="1"/>
    <col min="43" max="43" width="10.44140625" style="335" bestFit="1" customWidth="1"/>
    <col min="44" max="44" width="10.44140625" style="348" bestFit="1" customWidth="1"/>
    <col min="45" max="45" width="10.44140625" style="349" bestFit="1" customWidth="1"/>
    <col min="46" max="46" width="10.44140625" style="348" bestFit="1" customWidth="1"/>
    <col min="47" max="47" width="10.33203125" style="349" bestFit="1" customWidth="1"/>
    <col min="48" max="48" width="8.6640625" style="349" bestFit="1" customWidth="1"/>
    <col min="49" max="49" width="10.5546875" style="323" customWidth="1"/>
    <col min="50" max="50" width="10.44140625" style="342" bestFit="1" customWidth="1"/>
    <col min="51" max="51" width="10.33203125" style="343" bestFit="1" customWidth="1"/>
    <col min="52" max="52" width="10.109375" style="342" customWidth="1"/>
    <col min="53" max="53" width="10.109375" style="343" customWidth="1"/>
    <col min="54" max="54" width="8.6640625" style="343" bestFit="1" customWidth="1"/>
    <col min="55" max="55" width="8.88671875" style="354" bestFit="1" customWidth="1"/>
    <col min="56" max="56" width="4.33203125" style="591" customWidth="1"/>
    <col min="57" max="57" width="8.88671875" bestFit="1" customWidth="1"/>
    <col min="58" max="58" width="10.33203125" bestFit="1" customWidth="1"/>
    <col min="59" max="59" width="8.6640625" bestFit="1" customWidth="1"/>
    <col min="60" max="60" width="4" bestFit="1" customWidth="1"/>
    <col min="61" max="61" width="4" style="591" customWidth="1"/>
    <col min="62" max="62" width="10.44140625" bestFit="1" customWidth="1"/>
    <col min="63" max="63" width="12" customWidth="1"/>
    <col min="64" max="64" width="10.44140625" bestFit="1" customWidth="1"/>
    <col min="65" max="65" width="12.109375" customWidth="1"/>
    <col min="66" max="66" width="10.5546875" bestFit="1" customWidth="1"/>
    <col min="67" max="67" width="10.44140625" bestFit="1" customWidth="1"/>
    <col min="68" max="68" width="8.6640625" bestFit="1" customWidth="1"/>
    <col min="69" max="69" width="8.88671875" bestFit="1" customWidth="1"/>
    <col min="70" max="70" width="12.33203125" customWidth="1"/>
    <col min="71" max="71" width="8.6640625" bestFit="1" customWidth="1"/>
    <col min="72" max="72" width="10.44140625" bestFit="1" customWidth="1"/>
    <col min="73" max="73" width="11" customWidth="1"/>
    <col min="74" max="74" width="10.33203125" customWidth="1"/>
    <col min="75" max="75" width="8.6640625" bestFit="1" customWidth="1"/>
    <col min="76" max="76" width="12.109375" style="591" customWidth="1"/>
    <col min="77" max="77" width="13.6640625" customWidth="1"/>
    <col min="78" max="78" width="14.33203125" bestFit="1" customWidth="1"/>
    <col min="79" max="79" width="15.6640625" customWidth="1"/>
    <col min="80" max="80" width="14.44140625" bestFit="1" customWidth="1"/>
    <col min="81" max="81" width="11" bestFit="1" customWidth="1"/>
    <col min="82" max="82" width="8.33203125" bestFit="1" customWidth="1"/>
    <col min="83" max="83" width="13.33203125" bestFit="1" customWidth="1"/>
    <col min="84" max="84" width="5.33203125" bestFit="1" customWidth="1"/>
  </cols>
  <sheetData>
    <row r="1" spans="1:84" ht="15.6">
      <c r="A1" s="448" t="s">
        <v>300</v>
      </c>
      <c r="B1" s="447"/>
      <c r="C1" s="447"/>
      <c r="D1" s="564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AL1" s="30">
        <f>AL7+AL8+AL9+AL10+AL11+AL12+AL13+AL14+AL15+AL16+AL32</f>
        <v>69400</v>
      </c>
      <c r="AM1" s="30">
        <f t="shared" ref="AM1:AO1" si="0">AM7+AM8+AM9+AM10+AM11+AM12+AM13+AM14+AM15+AM16+AM32</f>
        <v>21600</v>
      </c>
      <c r="AN1" s="30">
        <f t="shared" si="0"/>
        <v>0</v>
      </c>
      <c r="AO1" s="30">
        <f t="shared" si="0"/>
        <v>63000</v>
      </c>
      <c r="BM1" s="108">
        <f>26*8*BM50</f>
        <v>4500000</v>
      </c>
      <c r="BN1" s="108"/>
    </row>
    <row r="2" spans="1:84">
      <c r="A2" s="449" t="s">
        <v>301</v>
      </c>
      <c r="B2" s="447"/>
      <c r="C2" s="447"/>
      <c r="D2" s="564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AM2" s="74"/>
      <c r="AN2" s="74"/>
      <c r="AO2" s="74"/>
    </row>
    <row r="3" spans="1:84" ht="23.25" customHeight="1">
      <c r="A3" s="562" t="s">
        <v>0</v>
      </c>
      <c r="B3" s="562" t="s">
        <v>284</v>
      </c>
      <c r="C3" s="562" t="s">
        <v>2</v>
      </c>
      <c r="D3" s="86" t="s">
        <v>3</v>
      </c>
      <c r="E3" s="1047" t="s">
        <v>285</v>
      </c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9"/>
      <c r="U3" s="592"/>
      <c r="V3" s="1038" t="s">
        <v>283</v>
      </c>
      <c r="W3" s="1039"/>
      <c r="X3" s="1039"/>
      <c r="Y3" s="1039"/>
      <c r="Z3" s="1039"/>
      <c r="AA3" s="1039"/>
      <c r="AB3" s="1039"/>
      <c r="AC3" s="1039"/>
      <c r="AD3" s="1039"/>
      <c r="AE3" s="1039"/>
      <c r="AF3" s="1039"/>
      <c r="AG3" s="1039"/>
      <c r="AH3" s="1039"/>
      <c r="AI3" s="1039"/>
      <c r="AJ3" s="1040"/>
      <c r="AK3" s="592"/>
      <c r="AL3" s="1038" t="s">
        <v>295</v>
      </c>
      <c r="AM3" s="1039"/>
      <c r="AN3" s="1039"/>
      <c r="AO3" s="1040"/>
      <c r="AP3" s="596"/>
      <c r="AQ3" s="1050" t="s">
        <v>286</v>
      </c>
      <c r="AR3" s="1051"/>
      <c r="AS3" s="1051"/>
      <c r="AT3" s="1051"/>
      <c r="AU3" s="1051"/>
      <c r="AV3" s="1051"/>
      <c r="AW3" s="1051"/>
      <c r="AX3" s="1051"/>
      <c r="AY3" s="1051"/>
      <c r="AZ3" s="1051"/>
      <c r="BA3" s="1051"/>
      <c r="BB3" s="1051"/>
      <c r="BC3" s="1052"/>
      <c r="BD3" s="592"/>
      <c r="BE3" s="1038" t="s">
        <v>294</v>
      </c>
      <c r="BF3" s="1039"/>
      <c r="BG3" s="1039"/>
      <c r="BH3" s="1040"/>
      <c r="BI3" s="592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39"/>
      <c r="BW3" s="1040"/>
      <c r="BX3" s="592"/>
    </row>
    <row r="4" spans="1:84" s="46" customFormat="1" ht="63.75" customHeight="1">
      <c r="A4" s="49"/>
      <c r="B4" s="49"/>
      <c r="C4" s="49"/>
      <c r="D4" s="450"/>
      <c r="E4" s="451" t="s">
        <v>323</v>
      </c>
      <c r="F4" s="451" t="s">
        <v>324</v>
      </c>
      <c r="G4" s="451" t="s">
        <v>325</v>
      </c>
      <c r="H4" s="451" t="s">
        <v>326</v>
      </c>
      <c r="I4" s="451" t="s">
        <v>327</v>
      </c>
      <c r="J4" s="451" t="s">
        <v>328</v>
      </c>
      <c r="K4" s="451" t="s">
        <v>329</v>
      </c>
      <c r="L4" s="451" t="s">
        <v>330</v>
      </c>
      <c r="M4" s="451" t="s">
        <v>331</v>
      </c>
      <c r="N4" s="451" t="s">
        <v>332</v>
      </c>
      <c r="O4" s="451" t="s">
        <v>333</v>
      </c>
      <c r="P4" s="451" t="s">
        <v>334</v>
      </c>
      <c r="Q4" s="451" t="s">
        <v>335</v>
      </c>
      <c r="R4" s="451" t="s">
        <v>336</v>
      </c>
      <c r="S4" s="451" t="s">
        <v>337</v>
      </c>
      <c r="T4" s="451" t="s">
        <v>338</v>
      </c>
      <c r="U4" s="593"/>
      <c r="V4" s="51" t="s">
        <v>339</v>
      </c>
      <c r="W4" s="51" t="s">
        <v>340</v>
      </c>
      <c r="X4" s="51" t="s">
        <v>341</v>
      </c>
      <c r="Y4" s="51" t="s">
        <v>342</v>
      </c>
      <c r="Z4" s="51" t="s">
        <v>343</v>
      </c>
      <c r="AA4" s="51" t="s">
        <v>344</v>
      </c>
      <c r="AB4" s="51" t="s">
        <v>345</v>
      </c>
      <c r="AC4" s="51" t="s">
        <v>346</v>
      </c>
      <c r="AD4" s="51" t="s">
        <v>347</v>
      </c>
      <c r="AE4" s="51" t="s">
        <v>348</v>
      </c>
      <c r="AF4" s="51" t="s">
        <v>349</v>
      </c>
      <c r="AG4" s="51" t="s">
        <v>350</v>
      </c>
      <c r="AH4" s="51" t="s">
        <v>351</v>
      </c>
      <c r="AI4" s="51" t="s">
        <v>352</v>
      </c>
      <c r="AJ4" s="51" t="s">
        <v>353</v>
      </c>
      <c r="AK4" s="593"/>
      <c r="AL4" s="75" t="s">
        <v>314</v>
      </c>
      <c r="AM4" s="51" t="s">
        <v>315</v>
      </c>
      <c r="AN4" s="394" t="s">
        <v>291</v>
      </c>
      <c r="AO4" s="394" t="s">
        <v>292</v>
      </c>
      <c r="AP4" s="597"/>
      <c r="AQ4" s="350" t="s">
        <v>253</v>
      </c>
      <c r="AR4" s="351" t="s">
        <v>764</v>
      </c>
      <c r="AS4" s="352" t="s">
        <v>255</v>
      </c>
      <c r="AT4" s="351" t="s">
        <v>256</v>
      </c>
      <c r="AU4" s="352" t="s">
        <v>809</v>
      </c>
      <c r="AV4" s="352" t="s">
        <v>257</v>
      </c>
      <c r="AW4" s="344" t="s">
        <v>253</v>
      </c>
      <c r="AX4" s="345" t="s">
        <v>254</v>
      </c>
      <c r="AY4" s="346" t="s">
        <v>255</v>
      </c>
      <c r="AZ4" s="345" t="s">
        <v>256</v>
      </c>
      <c r="BA4" s="346" t="s">
        <v>809</v>
      </c>
      <c r="BB4" s="346" t="s">
        <v>257</v>
      </c>
      <c r="BC4" s="355" t="s">
        <v>254</v>
      </c>
      <c r="BD4" s="593"/>
      <c r="BE4" s="51" t="s">
        <v>249</v>
      </c>
      <c r="BF4" s="51" t="s">
        <v>250</v>
      </c>
      <c r="BG4" s="51" t="s">
        <v>251</v>
      </c>
      <c r="BH4" s="51"/>
      <c r="BI4" s="593"/>
      <c r="BJ4" s="51" t="s">
        <v>244</v>
      </c>
      <c r="BK4" s="51" t="s">
        <v>367</v>
      </c>
      <c r="BL4" s="51" t="s">
        <v>246</v>
      </c>
      <c r="BM4" s="51" t="s">
        <v>247</v>
      </c>
      <c r="BN4" s="51" t="s">
        <v>248</v>
      </c>
      <c r="BO4" s="51" t="s">
        <v>366</v>
      </c>
      <c r="BP4" s="51" t="s">
        <v>258</v>
      </c>
      <c r="BQ4" s="51" t="s">
        <v>259</v>
      </c>
      <c r="BR4" s="51" t="s">
        <v>260</v>
      </c>
      <c r="BS4" s="51" t="s">
        <v>261</v>
      </c>
      <c r="BT4" s="51" t="s">
        <v>312</v>
      </c>
      <c r="BU4" s="51" t="s">
        <v>313</v>
      </c>
      <c r="BV4" s="51" t="s">
        <v>319</v>
      </c>
      <c r="BW4" s="51" t="s">
        <v>318</v>
      </c>
      <c r="BX4" s="593"/>
      <c r="CD4"/>
      <c r="CE4"/>
      <c r="CF4"/>
    </row>
    <row r="5" spans="1:84" ht="15" customHeight="1">
      <c r="A5" s="420" t="s">
        <v>5</v>
      </c>
      <c r="B5" s="420"/>
      <c r="C5" s="420" t="s">
        <v>293</v>
      </c>
      <c r="D5" s="87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5"/>
      <c r="T5" s="1046"/>
      <c r="U5" s="593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595"/>
      <c r="AL5" s="257">
        <f>SUM(AL6:AL49)</f>
        <v>69400</v>
      </c>
      <c r="AM5" s="70"/>
      <c r="AN5" s="395"/>
      <c r="AO5" s="395"/>
      <c r="AP5" s="597"/>
      <c r="AQ5" s="350"/>
      <c r="AR5" s="351"/>
      <c r="AS5" s="352"/>
      <c r="AT5" s="351"/>
      <c r="AU5" s="352"/>
      <c r="AV5" s="352"/>
      <c r="AW5" s="344"/>
      <c r="AX5" s="345"/>
      <c r="AY5" s="346"/>
      <c r="AZ5" s="345"/>
      <c r="BA5" s="346"/>
      <c r="BB5" s="346"/>
      <c r="BC5" s="355"/>
      <c r="BD5" s="593"/>
      <c r="BE5" s="70"/>
      <c r="BF5" s="70"/>
      <c r="BG5" s="70"/>
      <c r="BH5" s="70"/>
      <c r="BI5" s="593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593"/>
      <c r="CD5" s="46"/>
      <c r="CE5" s="46"/>
      <c r="CF5" s="46"/>
    </row>
    <row r="6" spans="1:84" ht="19.5" customHeight="1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>
        <f>SUM('26:25'!E6)</f>
        <v>0</v>
      </c>
      <c r="F6" s="419">
        <f>SUM('26:25'!F6)</f>
        <v>0</v>
      </c>
      <c r="G6" s="419">
        <f>SUM('26:25'!G6)</f>
        <v>0</v>
      </c>
      <c r="H6" s="419">
        <f>SUM('26:25'!H6)</f>
        <v>0</v>
      </c>
      <c r="I6" s="419">
        <f>SUM('26:25'!I6)</f>
        <v>0</v>
      </c>
      <c r="J6" s="419">
        <f>SUM('26:25'!J6)</f>
        <v>0</v>
      </c>
      <c r="K6" s="419">
        <f>SUM('26:25'!K6)</f>
        <v>0</v>
      </c>
      <c r="L6" s="419">
        <f>SUM('26:25'!L6)</f>
        <v>0</v>
      </c>
      <c r="M6" s="419">
        <f>SUM('26:25'!M6)</f>
        <v>0</v>
      </c>
      <c r="N6" s="419">
        <f>SUM('26:25'!N6)</f>
        <v>0</v>
      </c>
      <c r="O6" s="419">
        <f>SUM('26:25'!O6)</f>
        <v>0</v>
      </c>
      <c r="P6" s="419">
        <f>SUM('26:25'!P6)</f>
        <v>0</v>
      </c>
      <c r="Q6" s="419">
        <f>SUM('26:25'!Q6)</f>
        <v>0</v>
      </c>
      <c r="R6" s="419">
        <f>SUM('26:25'!R6)</f>
        <v>0</v>
      </c>
      <c r="S6" s="419">
        <f>SUM('26:25'!S6)</f>
        <v>0</v>
      </c>
      <c r="T6" s="419">
        <f>SUM('26:25'!T6)</f>
        <v>0</v>
      </c>
      <c r="U6" s="593"/>
      <c r="V6" s="419">
        <f>SUM('26:25'!V6)</f>
        <v>0</v>
      </c>
      <c r="W6" s="419">
        <f>SUM('26:25'!W6)</f>
        <v>0</v>
      </c>
      <c r="X6" s="419">
        <f>SUM('26:25'!X6)</f>
        <v>0</v>
      </c>
      <c r="Y6" s="419">
        <f>SUM('26:25'!Y6)</f>
        <v>0</v>
      </c>
      <c r="Z6" s="419">
        <f>SUM('26:25'!Z6)</f>
        <v>0</v>
      </c>
      <c r="AA6" s="419">
        <f>SUM('26:25'!AA6)</f>
        <v>0</v>
      </c>
      <c r="AB6" s="419">
        <f>SUM('26:25'!AB6)</f>
        <v>0</v>
      </c>
      <c r="AC6" s="419">
        <f>SUM('26:25'!AC6)</f>
        <v>0</v>
      </c>
      <c r="AD6" s="419">
        <f>SUM('26:25'!AD6)</f>
        <v>0</v>
      </c>
      <c r="AE6" s="419">
        <f>SUM('26:25'!AE6)</f>
        <v>0</v>
      </c>
      <c r="AF6" s="419">
        <f>SUM('26:25'!AF6)</f>
        <v>0</v>
      </c>
      <c r="AG6" s="419">
        <f>SUM('26:25'!AG6)</f>
        <v>0</v>
      </c>
      <c r="AH6" s="419">
        <f>SUM('26:25'!AH6)</f>
        <v>0</v>
      </c>
      <c r="AI6" s="419">
        <f>SUM('26:25'!AI6)</f>
        <v>0</v>
      </c>
      <c r="AJ6" s="419">
        <f>SUM('26:25'!AJ6)</f>
        <v>0</v>
      </c>
      <c r="AK6" s="593"/>
      <c r="AL6" s="419">
        <f>SUM('26:25'!AL6)</f>
        <v>0</v>
      </c>
      <c r="AM6" s="419">
        <f>SUM('26:25'!AM6)</f>
        <v>0</v>
      </c>
      <c r="AN6" s="419">
        <f>SUM('26:25'!AN6)</f>
        <v>0</v>
      </c>
      <c r="AO6" s="419">
        <f>SUM('26:25'!AO6)</f>
        <v>0</v>
      </c>
      <c r="AP6" s="597"/>
      <c r="AQ6" s="419">
        <f>SUM('26:25'!AQ6)</f>
        <v>0</v>
      </c>
      <c r="AR6" s="419">
        <f>SUM('26:25'!AR6)</f>
        <v>0</v>
      </c>
      <c r="AS6" s="419">
        <f>SUM('26:25'!AS6)</f>
        <v>0</v>
      </c>
      <c r="AT6" s="419">
        <f>SUM('26:25'!AT6)</f>
        <v>0</v>
      </c>
      <c r="AU6" s="419">
        <f>SUM('26:25'!AU6)</f>
        <v>0</v>
      </c>
      <c r="AV6" s="419">
        <f>SUM('26:25'!AV6)</f>
        <v>0</v>
      </c>
      <c r="AW6" s="419">
        <f>SUM('26:25'!AW6)</f>
        <v>0</v>
      </c>
      <c r="AX6" s="419">
        <f>SUM('26:25'!AX6)</f>
        <v>0</v>
      </c>
      <c r="AY6" s="419">
        <f>SUM('26:25'!AY6)</f>
        <v>0</v>
      </c>
      <c r="AZ6" s="419">
        <f>SUM('26:25'!AZ6)</f>
        <v>0</v>
      </c>
      <c r="BA6" s="419">
        <f>SUM('26:25'!BA6)</f>
        <v>0</v>
      </c>
      <c r="BB6" s="419">
        <f>SUM('26:25'!BB6)</f>
        <v>0</v>
      </c>
      <c r="BC6" s="419">
        <f>SUM('26:25'!BC6)</f>
        <v>0</v>
      </c>
      <c r="BD6" s="593"/>
      <c r="BE6" s="419">
        <f>SUM('26:25'!BE6)</f>
        <v>0</v>
      </c>
      <c r="BF6" s="419">
        <f>SUM('26:25'!BF6)</f>
        <v>0</v>
      </c>
      <c r="BG6" s="419">
        <f>SUM('26:25'!BG6)</f>
        <v>0</v>
      </c>
      <c r="BH6" s="419">
        <f>SUM('26:25'!BH6)</f>
        <v>0</v>
      </c>
      <c r="BI6" s="593"/>
      <c r="BJ6" s="419">
        <f>SUM('26:25'!BJ6)</f>
        <v>0</v>
      </c>
      <c r="BK6" s="419">
        <f>SUM('26:25'!BK6)</f>
        <v>0</v>
      </c>
      <c r="BL6" s="419">
        <f>SUM('26:25'!BL6)</f>
        <v>0</v>
      </c>
      <c r="BM6" s="419">
        <f>SUM('26:25'!BM6)</f>
        <v>0</v>
      </c>
      <c r="BN6" s="419">
        <f>SUM('26:25'!BN6)</f>
        <v>0</v>
      </c>
      <c r="BO6" s="419">
        <f>SUM('26:25'!BO6)</f>
        <v>0</v>
      </c>
      <c r="BP6" s="419">
        <f>SUM('26:25'!BP6)</f>
        <v>0</v>
      </c>
      <c r="BQ6" s="419">
        <f>SUM('26:25'!BQ6)</f>
        <v>0</v>
      </c>
      <c r="BR6" s="419">
        <f>SUM('26:25'!BR6)</f>
        <v>0</v>
      </c>
      <c r="BS6" s="419">
        <f>SUM('26:25'!BS6)</f>
        <v>0</v>
      </c>
      <c r="BT6" s="419">
        <f>SUM('26:25'!BT6)</f>
        <v>0</v>
      </c>
      <c r="BU6" s="419">
        <f>SUM('26:25'!BU6)</f>
        <v>0</v>
      </c>
      <c r="BV6" s="419">
        <f>SUM('26:25'!BV6)</f>
        <v>0</v>
      </c>
      <c r="BW6" s="419">
        <f>SUM('26:25'!BW6)</f>
        <v>0</v>
      </c>
      <c r="BX6" s="599"/>
      <c r="BY6">
        <v>76340</v>
      </c>
      <c r="BZ6">
        <v>61390</v>
      </c>
      <c r="CA6">
        <v>41530</v>
      </c>
      <c r="CD6" s="74"/>
      <c r="CE6" s="74"/>
      <c r="CF6" s="74"/>
    </row>
    <row r="7" spans="1:84" ht="19.5" customHeight="1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>
        <f>SUM('26:25'!E7)</f>
        <v>0</v>
      </c>
      <c r="F7" s="419">
        <f>SUM('26:25'!F7)</f>
        <v>0</v>
      </c>
      <c r="G7" s="419">
        <f>SUM('26:25'!G7)</f>
        <v>0</v>
      </c>
      <c r="H7" s="419">
        <f>SUM('26:25'!H7)</f>
        <v>0</v>
      </c>
      <c r="I7" s="419">
        <f>SUM('26:25'!I7)</f>
        <v>0</v>
      </c>
      <c r="J7" s="419">
        <f>SUM('26:25'!J7)</f>
        <v>0</v>
      </c>
      <c r="K7" s="419">
        <f>SUM('26:25'!K7)</f>
        <v>0</v>
      </c>
      <c r="L7" s="419">
        <f>SUM('26:25'!L7)</f>
        <v>0</v>
      </c>
      <c r="M7" s="419">
        <f>SUM('26:25'!M7)</f>
        <v>0</v>
      </c>
      <c r="N7" s="419">
        <f>SUM('26:25'!N7)</f>
        <v>0</v>
      </c>
      <c r="O7" s="419">
        <f>SUM('26:25'!O7)</f>
        <v>0</v>
      </c>
      <c r="P7" s="419">
        <f>SUM('26:25'!P7)</f>
        <v>0</v>
      </c>
      <c r="Q7" s="419">
        <f>SUM('26:25'!Q7)</f>
        <v>0</v>
      </c>
      <c r="R7" s="419">
        <f>SUM('26:25'!R7)</f>
        <v>0</v>
      </c>
      <c r="S7" s="419">
        <f>SUM('26:25'!S7)</f>
        <v>0</v>
      </c>
      <c r="T7" s="419">
        <f>SUM('26:25'!T7)</f>
        <v>0</v>
      </c>
      <c r="U7" s="593"/>
      <c r="V7" s="419">
        <f>SUM('26:25'!V7)</f>
        <v>0</v>
      </c>
      <c r="W7" s="419">
        <f>SUM('26:25'!W7)</f>
        <v>0</v>
      </c>
      <c r="X7" s="419">
        <f>SUM('26:25'!X7)</f>
        <v>0</v>
      </c>
      <c r="Y7" s="419">
        <f>SUM('26:25'!Y7)</f>
        <v>0</v>
      </c>
      <c r="Z7" s="419">
        <f>SUM('26:25'!Z7)</f>
        <v>0</v>
      </c>
      <c r="AA7" s="419">
        <f>SUM('26:25'!AA7)</f>
        <v>0</v>
      </c>
      <c r="AB7" s="419">
        <f>SUM('26:25'!AB7)</f>
        <v>0</v>
      </c>
      <c r="AC7" s="419">
        <f>SUM('26:25'!AC7)</f>
        <v>0</v>
      </c>
      <c r="AD7" s="419">
        <f>SUM('26:25'!AD7)</f>
        <v>0</v>
      </c>
      <c r="AE7" s="419">
        <f>SUM('26:25'!AE7)</f>
        <v>0</v>
      </c>
      <c r="AF7" s="419">
        <f>SUM('26:25'!AF7)</f>
        <v>0</v>
      </c>
      <c r="AG7" s="419">
        <f>SUM('26:25'!AG7)</f>
        <v>0</v>
      </c>
      <c r="AH7" s="419">
        <f>SUM('26:25'!AH7)</f>
        <v>0</v>
      </c>
      <c r="AI7" s="419">
        <f>SUM('26:25'!AI7)</f>
        <v>0</v>
      </c>
      <c r="AJ7" s="419">
        <f>SUM('26:25'!AJ7)</f>
        <v>0</v>
      </c>
      <c r="AK7" s="593"/>
      <c r="AL7" s="419">
        <f>SUM('26:25'!AL7)</f>
        <v>5780</v>
      </c>
      <c r="AM7" s="419">
        <f>SUM('26:25'!AM7)</f>
        <v>2160</v>
      </c>
      <c r="AN7" s="419">
        <f>SUM('26:25'!AN7)</f>
        <v>0</v>
      </c>
      <c r="AO7" s="419">
        <f>SUM('26:25'!AO7)</f>
        <v>6300</v>
      </c>
      <c r="AP7" s="597"/>
      <c r="AQ7" s="419">
        <f>SUM('26:25'!AQ7)</f>
        <v>0</v>
      </c>
      <c r="AR7" s="419">
        <f>SUM('26:25'!AR7)</f>
        <v>0</v>
      </c>
      <c r="AS7" s="419">
        <f>SUM('26:25'!AS7)</f>
        <v>0</v>
      </c>
      <c r="AT7" s="419">
        <f>SUM('26:25'!AT7)</f>
        <v>0</v>
      </c>
      <c r="AU7" s="419">
        <f>SUM('26:25'!AU7)</f>
        <v>0</v>
      </c>
      <c r="AV7" s="419">
        <f>SUM('26:25'!AV7)</f>
        <v>0</v>
      </c>
      <c r="AW7" s="419">
        <f>SUM('26:25'!AW7)</f>
        <v>0</v>
      </c>
      <c r="AX7" s="419">
        <f>SUM('26:25'!AX7)</f>
        <v>0</v>
      </c>
      <c r="AY7" s="419">
        <f>SUM('26:25'!AY7)</f>
        <v>0</v>
      </c>
      <c r="AZ7" s="419">
        <f>SUM('26:25'!AZ7)</f>
        <v>0</v>
      </c>
      <c r="BA7" s="419">
        <f>SUM('26:25'!BA7)</f>
        <v>0</v>
      </c>
      <c r="BB7" s="419">
        <f>SUM('26:25'!BB7)</f>
        <v>0</v>
      </c>
      <c r="BC7" s="419">
        <f>SUM('26:25'!BC7)</f>
        <v>0</v>
      </c>
      <c r="BD7" s="593"/>
      <c r="BE7" s="419">
        <f>SUM('26:25'!BE7)</f>
        <v>0</v>
      </c>
      <c r="BF7" s="419">
        <f>SUM('26:25'!BF7)</f>
        <v>0</v>
      </c>
      <c r="BG7" s="419">
        <f>SUM('26:25'!BG7)</f>
        <v>0</v>
      </c>
      <c r="BH7" s="419">
        <f>SUM('26:25'!BH7)</f>
        <v>0</v>
      </c>
      <c r="BI7" s="593"/>
      <c r="BJ7" s="419">
        <f>SUM('26:25'!BJ7)</f>
        <v>0</v>
      </c>
      <c r="BK7" s="419">
        <f>SUM('26:25'!BK7)</f>
        <v>0</v>
      </c>
      <c r="BL7" s="419">
        <f>SUM('26:25'!BL7)</f>
        <v>0</v>
      </c>
      <c r="BM7" s="419">
        <f>SUM('26:25'!BM7)</f>
        <v>0</v>
      </c>
      <c r="BN7" s="419">
        <f>SUM('26:25'!BN7)</f>
        <v>0</v>
      </c>
      <c r="BO7" s="419">
        <f>SUM('26:25'!BO7)</f>
        <v>0</v>
      </c>
      <c r="BP7" s="419">
        <f>SUM('26:25'!BP7)</f>
        <v>0</v>
      </c>
      <c r="BQ7" s="419">
        <f>SUM('26:25'!BQ7)</f>
        <v>0</v>
      </c>
      <c r="BR7" s="419">
        <f>SUM('26:25'!BR7)</f>
        <v>60</v>
      </c>
      <c r="BS7" s="419">
        <f>SUM('26:25'!BS7)</f>
        <v>0</v>
      </c>
      <c r="BT7" s="419">
        <f>SUM('26:25'!BT7)</f>
        <v>0</v>
      </c>
      <c r="BU7" s="419">
        <f>SUM('26:25'!BU7)</f>
        <v>0</v>
      </c>
      <c r="BV7" s="419">
        <f>SUM('26:25'!BV7)</f>
        <v>0</v>
      </c>
      <c r="BW7" s="419">
        <f>SUM('26:25'!BW7)</f>
        <v>0</v>
      </c>
      <c r="BX7" s="599"/>
      <c r="BY7">
        <v>94800</v>
      </c>
      <c r="BZ7">
        <v>46270</v>
      </c>
      <c r="CA7">
        <v>32030</v>
      </c>
      <c r="CD7" s="74"/>
      <c r="CE7" s="74"/>
      <c r="CF7" s="74"/>
    </row>
    <row r="8" spans="1:84" ht="19.5" customHeight="1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>
        <f>SUM('26:25'!E8)</f>
        <v>0</v>
      </c>
      <c r="F8" s="419">
        <f>SUM('26:25'!F8)</f>
        <v>0</v>
      </c>
      <c r="G8" s="419">
        <f>SUM('26:25'!G8)</f>
        <v>0</v>
      </c>
      <c r="H8" s="419">
        <f>SUM('26:25'!H8)</f>
        <v>0</v>
      </c>
      <c r="I8" s="419">
        <f>SUM('26:25'!I8)</f>
        <v>0</v>
      </c>
      <c r="J8" s="419">
        <f>SUM('26:25'!J8)</f>
        <v>0</v>
      </c>
      <c r="K8" s="419">
        <f>SUM('26:25'!K8)</f>
        <v>0</v>
      </c>
      <c r="L8" s="419">
        <f>SUM('26:25'!L8)</f>
        <v>0</v>
      </c>
      <c r="M8" s="419">
        <f>SUM('26:25'!M8)</f>
        <v>0</v>
      </c>
      <c r="N8" s="419">
        <f>SUM('26:25'!N8)</f>
        <v>0</v>
      </c>
      <c r="O8" s="419">
        <f>SUM('26:25'!O8)</f>
        <v>0</v>
      </c>
      <c r="P8" s="419">
        <f>SUM('26:25'!P8)</f>
        <v>0</v>
      </c>
      <c r="Q8" s="419">
        <f>SUM('26:25'!Q8)</f>
        <v>0</v>
      </c>
      <c r="R8" s="419">
        <f>SUM('26:25'!R8)</f>
        <v>0</v>
      </c>
      <c r="S8" s="419">
        <f>SUM('26:25'!S8)</f>
        <v>0</v>
      </c>
      <c r="T8" s="419">
        <f>SUM('26:25'!T8)</f>
        <v>0</v>
      </c>
      <c r="U8" s="593"/>
      <c r="V8" s="419">
        <f>SUM('26:25'!V8)</f>
        <v>0</v>
      </c>
      <c r="W8" s="419">
        <f>SUM('26:25'!W8)</f>
        <v>0</v>
      </c>
      <c r="X8" s="419">
        <f>SUM('26:25'!X8)</f>
        <v>0</v>
      </c>
      <c r="Y8" s="419">
        <f>SUM('26:25'!Y8)</f>
        <v>0</v>
      </c>
      <c r="Z8" s="419">
        <f>SUM('26:25'!Z8)</f>
        <v>0</v>
      </c>
      <c r="AA8" s="419">
        <f>SUM('26:25'!AA8)</f>
        <v>0</v>
      </c>
      <c r="AB8" s="419">
        <f>SUM('26:25'!AB8)</f>
        <v>0</v>
      </c>
      <c r="AC8" s="419">
        <f>SUM('26:25'!AC8)</f>
        <v>0</v>
      </c>
      <c r="AD8" s="419">
        <f>SUM('26:25'!AD8)</f>
        <v>0</v>
      </c>
      <c r="AE8" s="419">
        <f>SUM('26:25'!AE8)</f>
        <v>0</v>
      </c>
      <c r="AF8" s="419">
        <f>SUM('26:25'!AF8)</f>
        <v>0</v>
      </c>
      <c r="AG8" s="419">
        <f>SUM('26:25'!AG8)</f>
        <v>0</v>
      </c>
      <c r="AH8" s="419">
        <f>SUM('26:25'!AH8)</f>
        <v>0</v>
      </c>
      <c r="AI8" s="419">
        <f>SUM('26:25'!AI8)</f>
        <v>0</v>
      </c>
      <c r="AJ8" s="419">
        <f>SUM('26:25'!AJ8)</f>
        <v>0</v>
      </c>
      <c r="AK8" s="593"/>
      <c r="AL8" s="419">
        <f>SUM('26:25'!AL8)</f>
        <v>0</v>
      </c>
      <c r="AM8" s="419">
        <f>SUM('26:25'!AM8)</f>
        <v>0</v>
      </c>
      <c r="AN8" s="419">
        <f>SUM('26:25'!AN8)</f>
        <v>0</v>
      </c>
      <c r="AO8" s="419">
        <f>SUM('26:25'!AO8)</f>
        <v>0</v>
      </c>
      <c r="AP8" s="597"/>
      <c r="AQ8" s="419">
        <f>SUM('26:25'!AQ8)</f>
        <v>0</v>
      </c>
      <c r="AR8" s="419">
        <f>SUM('26:25'!AR8)</f>
        <v>0</v>
      </c>
      <c r="AS8" s="419">
        <f>SUM('26:25'!AS8)</f>
        <v>0</v>
      </c>
      <c r="AT8" s="419">
        <f>SUM('26:25'!AT8)</f>
        <v>0</v>
      </c>
      <c r="AU8" s="419">
        <f>SUM('26:25'!AU8)</f>
        <v>0</v>
      </c>
      <c r="AV8" s="419">
        <f>SUM('26:25'!AV8)</f>
        <v>0</v>
      </c>
      <c r="AW8" s="419">
        <f>SUM('26:25'!AW8)</f>
        <v>0</v>
      </c>
      <c r="AX8" s="419">
        <f>SUM('26:25'!AX8)</f>
        <v>0</v>
      </c>
      <c r="AY8" s="419">
        <f>SUM('26:25'!AY8)</f>
        <v>0</v>
      </c>
      <c r="AZ8" s="419">
        <f>SUM('26:25'!AZ8)</f>
        <v>0</v>
      </c>
      <c r="BA8" s="419">
        <f>SUM('26:25'!BA8)</f>
        <v>0</v>
      </c>
      <c r="BB8" s="419">
        <f>SUM('26:25'!BB8)</f>
        <v>0</v>
      </c>
      <c r="BC8" s="419">
        <f>SUM('26:25'!BC8)</f>
        <v>0</v>
      </c>
      <c r="BD8" s="593"/>
      <c r="BE8" s="419">
        <f>SUM('26:25'!BE8)</f>
        <v>0</v>
      </c>
      <c r="BF8" s="419">
        <f>SUM('26:25'!BF8)</f>
        <v>0</v>
      </c>
      <c r="BG8" s="419">
        <f>SUM('26:25'!BG8)</f>
        <v>0</v>
      </c>
      <c r="BH8" s="419">
        <f>SUM('26:25'!BH8)</f>
        <v>0</v>
      </c>
      <c r="BI8" s="593"/>
      <c r="BJ8" s="419">
        <f>SUM('26:25'!BJ8)</f>
        <v>0</v>
      </c>
      <c r="BK8" s="419">
        <f>SUM('26:25'!BK8)</f>
        <v>0</v>
      </c>
      <c r="BL8" s="419">
        <f>SUM('26:25'!BL8)</f>
        <v>0</v>
      </c>
      <c r="BM8" s="419">
        <f>SUM('26:25'!BM8)</f>
        <v>0</v>
      </c>
      <c r="BN8" s="419">
        <f>SUM('26:25'!BN8)</f>
        <v>0</v>
      </c>
      <c r="BO8" s="419">
        <f>SUM('26:25'!BO8)</f>
        <v>0</v>
      </c>
      <c r="BP8" s="419">
        <f>SUM('26:25'!BP8)</f>
        <v>0</v>
      </c>
      <c r="BQ8" s="419">
        <f>SUM('26:25'!BQ8)</f>
        <v>0</v>
      </c>
      <c r="BR8" s="419">
        <f>SUM('26:25'!BR8)</f>
        <v>0</v>
      </c>
      <c r="BS8" s="419">
        <f>SUM('26:25'!BS8)</f>
        <v>0</v>
      </c>
      <c r="BT8" s="419">
        <f>SUM('26:25'!BT8)</f>
        <v>0</v>
      </c>
      <c r="BU8" s="419">
        <f>SUM('26:25'!BU8)</f>
        <v>0</v>
      </c>
      <c r="BV8" s="419">
        <f>SUM('26:25'!BV8)</f>
        <v>0</v>
      </c>
      <c r="BW8" s="419">
        <f>SUM('26:25'!BW8)</f>
        <v>0</v>
      </c>
      <c r="BX8" s="599"/>
      <c r="BY8">
        <v>85910</v>
      </c>
      <c r="BZ8">
        <v>38510</v>
      </c>
      <c r="CA8">
        <v>11940</v>
      </c>
      <c r="CD8" s="74"/>
      <c r="CE8" s="74"/>
      <c r="CF8" s="74"/>
    </row>
    <row r="9" spans="1:84" ht="19.5" customHeight="1">
      <c r="A9" s="418">
        <f>'BANG LUONG 1'!A9</f>
        <v>7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>
        <f>SUM('26:25'!E9)</f>
        <v>0</v>
      </c>
      <c r="F9" s="419">
        <f>SUM('26:25'!F9)</f>
        <v>0</v>
      </c>
      <c r="G9" s="419">
        <f>SUM('26:25'!G9)</f>
        <v>0</v>
      </c>
      <c r="H9" s="419">
        <f>SUM('26:25'!H9)</f>
        <v>0</v>
      </c>
      <c r="I9" s="419">
        <f>SUM('26:25'!I9)</f>
        <v>0</v>
      </c>
      <c r="J9" s="419">
        <f>SUM('26:25'!J9)</f>
        <v>0</v>
      </c>
      <c r="K9" s="419">
        <f>SUM('26:25'!K9)</f>
        <v>0</v>
      </c>
      <c r="L9" s="419">
        <f>SUM('26:25'!L9)</f>
        <v>0</v>
      </c>
      <c r="M9" s="419">
        <f>SUM('26:25'!M9)</f>
        <v>0</v>
      </c>
      <c r="N9" s="419">
        <f>SUM('26:25'!N9)</f>
        <v>0</v>
      </c>
      <c r="O9" s="419">
        <f>SUM('26:25'!O9)</f>
        <v>0</v>
      </c>
      <c r="P9" s="419">
        <f>SUM('26:25'!P9)</f>
        <v>0</v>
      </c>
      <c r="Q9" s="419">
        <f>SUM('26:25'!Q9)</f>
        <v>0</v>
      </c>
      <c r="R9" s="419">
        <f>SUM('26:25'!R9)</f>
        <v>0</v>
      </c>
      <c r="S9" s="419">
        <f>SUM('26:25'!S9)</f>
        <v>0</v>
      </c>
      <c r="T9" s="419">
        <f>SUM('26:25'!T9)</f>
        <v>0</v>
      </c>
      <c r="U9" s="593"/>
      <c r="V9" s="419">
        <f>SUM('26:25'!V9)</f>
        <v>0</v>
      </c>
      <c r="W9" s="419">
        <f>SUM('26:25'!W9)</f>
        <v>0</v>
      </c>
      <c r="X9" s="419">
        <f>SUM('26:25'!X9)</f>
        <v>0</v>
      </c>
      <c r="Y9" s="419">
        <f>SUM('26:25'!Y9)</f>
        <v>0</v>
      </c>
      <c r="Z9" s="419">
        <f>SUM('26:25'!Z9)</f>
        <v>0</v>
      </c>
      <c r="AA9" s="419">
        <f>SUM('26:25'!AA9)</f>
        <v>0</v>
      </c>
      <c r="AB9" s="419">
        <f>SUM('26:25'!AB9)</f>
        <v>0</v>
      </c>
      <c r="AC9" s="419">
        <f>SUM('26:25'!AC9)</f>
        <v>0</v>
      </c>
      <c r="AD9" s="419">
        <f>SUM('26:25'!AD9)</f>
        <v>0</v>
      </c>
      <c r="AE9" s="419">
        <f>SUM('26:25'!AE9)</f>
        <v>0</v>
      </c>
      <c r="AF9" s="419">
        <f>SUM('26:25'!AF9)</f>
        <v>0</v>
      </c>
      <c r="AG9" s="419">
        <f>SUM('26:25'!AG9)</f>
        <v>0</v>
      </c>
      <c r="AH9" s="419">
        <f>SUM('26:25'!AH9)</f>
        <v>0</v>
      </c>
      <c r="AI9" s="419">
        <f>SUM('26:25'!AI9)</f>
        <v>0</v>
      </c>
      <c r="AJ9" s="419">
        <f>SUM('26:25'!AJ9)</f>
        <v>0</v>
      </c>
      <c r="AK9" s="593"/>
      <c r="AL9" s="419">
        <f>SUM('26:25'!AL9)</f>
        <v>5780</v>
      </c>
      <c r="AM9" s="419">
        <f>SUM('26:25'!AM9)</f>
        <v>2160</v>
      </c>
      <c r="AN9" s="419">
        <f>SUM('26:25'!AN9)</f>
        <v>0</v>
      </c>
      <c r="AO9" s="419">
        <f>SUM('26:25'!AO9)</f>
        <v>6300</v>
      </c>
      <c r="AP9" s="597"/>
      <c r="AQ9" s="419">
        <f>SUM('26:25'!AQ9)</f>
        <v>0</v>
      </c>
      <c r="AR9" s="419">
        <f>SUM('26:25'!AR9)</f>
        <v>0</v>
      </c>
      <c r="AS9" s="419">
        <f>SUM('26:25'!AS9)</f>
        <v>0</v>
      </c>
      <c r="AT9" s="419">
        <f>SUM('26:25'!AT9)</f>
        <v>0</v>
      </c>
      <c r="AU9" s="419">
        <f>SUM('26:25'!AU9)</f>
        <v>0</v>
      </c>
      <c r="AV9" s="419">
        <f>SUM('26:25'!AV9)</f>
        <v>0</v>
      </c>
      <c r="AW9" s="419">
        <f>SUM('26:25'!AW9)</f>
        <v>0</v>
      </c>
      <c r="AX9" s="419">
        <f>SUM('26:25'!AX9)</f>
        <v>0</v>
      </c>
      <c r="AY9" s="419">
        <f>SUM('26:25'!AY9)</f>
        <v>0</v>
      </c>
      <c r="AZ9" s="419">
        <f>SUM('26:25'!AZ9)</f>
        <v>0</v>
      </c>
      <c r="BA9" s="419">
        <f>SUM('26:25'!BA9)</f>
        <v>0</v>
      </c>
      <c r="BB9" s="419">
        <f>SUM('26:25'!BB9)</f>
        <v>0</v>
      </c>
      <c r="BC9" s="419">
        <f>SUM('26:25'!BC9)</f>
        <v>0</v>
      </c>
      <c r="BD9" s="593"/>
      <c r="BE9" s="419">
        <f>SUM('26:25'!BE9)</f>
        <v>0</v>
      </c>
      <c r="BF9" s="419">
        <f>SUM('26:25'!BF9)</f>
        <v>0</v>
      </c>
      <c r="BG9" s="419">
        <f>SUM('26:25'!BG9)</f>
        <v>0</v>
      </c>
      <c r="BH9" s="419">
        <f>SUM('26:25'!BH9)</f>
        <v>0</v>
      </c>
      <c r="BI9" s="593"/>
      <c r="BJ9" s="419">
        <f>SUM('26:25'!BJ9)</f>
        <v>0</v>
      </c>
      <c r="BK9" s="419">
        <f>SUM('26:25'!BK9)</f>
        <v>0</v>
      </c>
      <c r="BL9" s="419">
        <f>SUM('26:25'!BL9)</f>
        <v>0</v>
      </c>
      <c r="BM9" s="419">
        <f>SUM('26:25'!BM9)</f>
        <v>0</v>
      </c>
      <c r="BN9" s="419">
        <f>SUM('26:25'!BN9)</f>
        <v>0</v>
      </c>
      <c r="BO9" s="419">
        <f>SUM('26:25'!BO9)</f>
        <v>0</v>
      </c>
      <c r="BP9" s="419">
        <f>SUM('26:25'!BP9)</f>
        <v>0</v>
      </c>
      <c r="BQ9" s="419">
        <f>SUM('26:25'!BQ9)</f>
        <v>0</v>
      </c>
      <c r="BR9" s="419">
        <f>SUM('26:25'!BR9)</f>
        <v>60</v>
      </c>
      <c r="BS9" s="419">
        <f>SUM('26:25'!BS9)</f>
        <v>0</v>
      </c>
      <c r="BT9" s="419">
        <f>SUM('26:25'!BT9)</f>
        <v>0</v>
      </c>
      <c r="BU9" s="419">
        <f>SUM('26:25'!BU9)</f>
        <v>0</v>
      </c>
      <c r="BV9" s="419">
        <f>SUM('26:25'!BV9)</f>
        <v>0</v>
      </c>
      <c r="BW9" s="419">
        <f>SUM('26:25'!BW9)</f>
        <v>0</v>
      </c>
      <c r="BX9" s="599"/>
      <c r="BY9">
        <v>139440</v>
      </c>
      <c r="BZ9">
        <v>59770</v>
      </c>
      <c r="CD9" s="74"/>
      <c r="CE9" s="74"/>
      <c r="CF9" s="74"/>
    </row>
    <row r="10" spans="1:84" ht="19.5" customHeight="1">
      <c r="A10" s="418">
        <f>'BANG LUONG 1'!A10</f>
        <v>9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>
        <f>SUM('26:25'!E10)</f>
        <v>0</v>
      </c>
      <c r="F10" s="419">
        <f>SUM('26:25'!F10)</f>
        <v>0</v>
      </c>
      <c r="G10" s="419">
        <f>SUM('26:25'!G10)</f>
        <v>0</v>
      </c>
      <c r="H10" s="419">
        <f>SUM('26:25'!H10)</f>
        <v>0</v>
      </c>
      <c r="I10" s="419">
        <f>SUM('26:25'!I10)</f>
        <v>0</v>
      </c>
      <c r="J10" s="419">
        <f>SUM('26:25'!J10)</f>
        <v>0</v>
      </c>
      <c r="K10" s="419">
        <f>SUM('26:25'!K10)</f>
        <v>0</v>
      </c>
      <c r="L10" s="419">
        <f>SUM('26:25'!L10)</f>
        <v>0</v>
      </c>
      <c r="M10" s="419">
        <f>SUM('26:25'!M10)</f>
        <v>0</v>
      </c>
      <c r="N10" s="419">
        <f>SUM('26:25'!N10)</f>
        <v>0</v>
      </c>
      <c r="O10" s="419">
        <f>SUM('26:25'!O10)</f>
        <v>0</v>
      </c>
      <c r="P10" s="419">
        <f>SUM('26:25'!P10)</f>
        <v>0</v>
      </c>
      <c r="Q10" s="419">
        <f>SUM('26:25'!Q10)</f>
        <v>0</v>
      </c>
      <c r="R10" s="419">
        <f>SUM('26:25'!R10)</f>
        <v>0</v>
      </c>
      <c r="S10" s="419">
        <f>SUM('26:25'!S10)</f>
        <v>0</v>
      </c>
      <c r="T10" s="419">
        <f>SUM('26:25'!T10)</f>
        <v>0</v>
      </c>
      <c r="U10" s="593"/>
      <c r="V10" s="419">
        <f>SUM('26:25'!V10)</f>
        <v>0</v>
      </c>
      <c r="W10" s="419">
        <f>SUM('26:25'!W10)</f>
        <v>0</v>
      </c>
      <c r="X10" s="419">
        <f>SUM('26:25'!X10)</f>
        <v>0</v>
      </c>
      <c r="Y10" s="419">
        <f>SUM('26:25'!Y10)</f>
        <v>0</v>
      </c>
      <c r="Z10" s="419">
        <f>SUM('26:25'!Z10)</f>
        <v>0</v>
      </c>
      <c r="AA10" s="419">
        <f>SUM('26:25'!AA10)</f>
        <v>0</v>
      </c>
      <c r="AB10" s="419">
        <f>SUM('26:25'!AB10)</f>
        <v>0</v>
      </c>
      <c r="AC10" s="419">
        <f>SUM('26:25'!AC10)</f>
        <v>0</v>
      </c>
      <c r="AD10" s="419">
        <f>SUM('26:25'!AD10)</f>
        <v>0</v>
      </c>
      <c r="AE10" s="419">
        <f>SUM('26:25'!AE10)</f>
        <v>0</v>
      </c>
      <c r="AF10" s="419">
        <f>SUM('26:25'!AF10)</f>
        <v>0</v>
      </c>
      <c r="AG10" s="419">
        <f>SUM('26:25'!AG10)</f>
        <v>0</v>
      </c>
      <c r="AH10" s="419">
        <f>SUM('26:25'!AH10)</f>
        <v>0</v>
      </c>
      <c r="AI10" s="419">
        <f>SUM('26:25'!AI10)</f>
        <v>0</v>
      </c>
      <c r="AJ10" s="419">
        <f>SUM('26:25'!AJ10)</f>
        <v>0</v>
      </c>
      <c r="AK10" s="593"/>
      <c r="AL10" s="419">
        <f>SUM('26:25'!AL10)</f>
        <v>8100</v>
      </c>
      <c r="AM10" s="419">
        <f>SUM('26:25'!AM10)</f>
        <v>2160</v>
      </c>
      <c r="AN10" s="419">
        <f>SUM('26:25'!AN10)</f>
        <v>0</v>
      </c>
      <c r="AO10" s="419">
        <f>SUM('26:25'!AO10)</f>
        <v>6300</v>
      </c>
      <c r="AP10" s="597"/>
      <c r="AQ10" s="419">
        <f>SUM('26:25'!AQ10)</f>
        <v>0</v>
      </c>
      <c r="AR10" s="419">
        <f>SUM('26:25'!AR10)</f>
        <v>0</v>
      </c>
      <c r="AS10" s="419">
        <f>SUM('26:25'!AS10)</f>
        <v>0</v>
      </c>
      <c r="AT10" s="419">
        <f>SUM('26:25'!AT10)</f>
        <v>0</v>
      </c>
      <c r="AU10" s="419">
        <f>SUM('26:25'!AU10)</f>
        <v>0</v>
      </c>
      <c r="AV10" s="419">
        <f>SUM('26:25'!AV10)</f>
        <v>0</v>
      </c>
      <c r="AW10" s="419">
        <f>SUM('26:25'!AW10)</f>
        <v>0</v>
      </c>
      <c r="AX10" s="419">
        <f>SUM('26:25'!AX10)</f>
        <v>0</v>
      </c>
      <c r="AY10" s="419">
        <f>SUM('26:25'!AY10)</f>
        <v>0</v>
      </c>
      <c r="AZ10" s="419">
        <f>SUM('26:25'!AZ10)</f>
        <v>0</v>
      </c>
      <c r="BA10" s="419">
        <f>SUM('26:25'!BA10)</f>
        <v>0</v>
      </c>
      <c r="BB10" s="419">
        <f>SUM('26:25'!BB10)</f>
        <v>0</v>
      </c>
      <c r="BC10" s="419">
        <f>SUM('26:25'!BC10)</f>
        <v>0</v>
      </c>
      <c r="BD10" s="593"/>
      <c r="BE10" s="419">
        <f>SUM('26:25'!BE10)</f>
        <v>0</v>
      </c>
      <c r="BF10" s="419">
        <f>SUM('26:25'!BF10)</f>
        <v>0</v>
      </c>
      <c r="BG10" s="419">
        <f>SUM('26:25'!BG10)</f>
        <v>0</v>
      </c>
      <c r="BH10" s="419">
        <f>SUM('26:25'!BH10)</f>
        <v>0</v>
      </c>
      <c r="BI10" s="593"/>
      <c r="BJ10" s="419">
        <f>SUM('26:25'!BJ10)</f>
        <v>0</v>
      </c>
      <c r="BK10" s="419">
        <f>SUM('26:25'!BK10)</f>
        <v>0</v>
      </c>
      <c r="BL10" s="419">
        <f>SUM('26:25'!BL10)</f>
        <v>0</v>
      </c>
      <c r="BM10" s="419">
        <f>SUM('26:25'!BM10)</f>
        <v>0</v>
      </c>
      <c r="BN10" s="419">
        <f>SUM('26:25'!BN10)</f>
        <v>0</v>
      </c>
      <c r="BO10" s="419">
        <f>SUM('26:25'!BO10)</f>
        <v>0</v>
      </c>
      <c r="BP10" s="419">
        <f>SUM('26:25'!BP10)</f>
        <v>0</v>
      </c>
      <c r="BQ10" s="419">
        <f>SUM('26:25'!BQ10)</f>
        <v>0</v>
      </c>
      <c r="BR10" s="419">
        <f>SUM('26:25'!BR10)</f>
        <v>0</v>
      </c>
      <c r="BS10" s="419">
        <f>SUM('26:25'!BS10)</f>
        <v>0</v>
      </c>
      <c r="BT10" s="419">
        <f>SUM('26:25'!BT10)</f>
        <v>0</v>
      </c>
      <c r="BU10" s="419">
        <f>SUM('26:25'!BU10)</f>
        <v>0</v>
      </c>
      <c r="BV10" s="419">
        <f>SUM('26:25'!BV10)</f>
        <v>0</v>
      </c>
      <c r="BW10" s="419">
        <f>SUM('26:25'!BW10)</f>
        <v>0</v>
      </c>
      <c r="BX10" s="599"/>
      <c r="BY10">
        <v>65940</v>
      </c>
      <c r="BZ10">
        <v>65790</v>
      </c>
      <c r="CD10" s="74"/>
      <c r="CE10" s="74"/>
      <c r="CF10" s="74"/>
    </row>
    <row r="11" spans="1:84" ht="19.5" customHeight="1">
      <c r="A11" s="418">
        <f>'BANG LUONG 1'!A11</f>
        <v>10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>
        <f>SUM('26:25'!E11)</f>
        <v>0</v>
      </c>
      <c r="F11" s="419">
        <f>SUM('26:25'!F11)</f>
        <v>0</v>
      </c>
      <c r="G11" s="419">
        <f>SUM('26:25'!G11)</f>
        <v>0</v>
      </c>
      <c r="H11" s="419">
        <f>SUM('26:25'!H11)</f>
        <v>0</v>
      </c>
      <c r="I11" s="419">
        <f>SUM('26:25'!I11)</f>
        <v>0</v>
      </c>
      <c r="J11" s="419">
        <f>SUM('26:25'!J11)</f>
        <v>0</v>
      </c>
      <c r="K11" s="419">
        <f>SUM('26:25'!K11)</f>
        <v>0</v>
      </c>
      <c r="L11" s="419">
        <f>SUM('26:25'!L11)</f>
        <v>0</v>
      </c>
      <c r="M11" s="419">
        <f>SUM('26:25'!M11)</f>
        <v>0</v>
      </c>
      <c r="N11" s="419">
        <f>SUM('26:25'!N11)</f>
        <v>0</v>
      </c>
      <c r="O11" s="419">
        <f>SUM('26:25'!O11)</f>
        <v>0</v>
      </c>
      <c r="P11" s="419">
        <f>SUM('26:25'!P11)</f>
        <v>0</v>
      </c>
      <c r="Q11" s="419">
        <f>SUM('26:25'!Q11)</f>
        <v>0</v>
      </c>
      <c r="R11" s="419">
        <f>SUM('26:25'!R11)</f>
        <v>0</v>
      </c>
      <c r="S11" s="419">
        <f>SUM('26:25'!S11)</f>
        <v>0</v>
      </c>
      <c r="T11" s="419">
        <f>SUM('26:25'!T11)</f>
        <v>0</v>
      </c>
      <c r="U11" s="593"/>
      <c r="V11" s="419">
        <f>SUM('26:25'!V11)</f>
        <v>0</v>
      </c>
      <c r="W11" s="419">
        <f>SUM('26:25'!W11)</f>
        <v>0</v>
      </c>
      <c r="X11" s="419">
        <f>SUM('26:25'!X11)</f>
        <v>0</v>
      </c>
      <c r="Y11" s="419">
        <f>SUM('26:25'!Y11)</f>
        <v>0</v>
      </c>
      <c r="Z11" s="419">
        <f>SUM('26:25'!Z11)</f>
        <v>0</v>
      </c>
      <c r="AA11" s="419">
        <f>SUM('26:25'!AA11)</f>
        <v>0</v>
      </c>
      <c r="AB11" s="419">
        <f>SUM('26:25'!AB11)</f>
        <v>0</v>
      </c>
      <c r="AC11" s="419">
        <f>SUM('26:25'!AC11)</f>
        <v>0</v>
      </c>
      <c r="AD11" s="419">
        <f>SUM('26:25'!AD11)</f>
        <v>0</v>
      </c>
      <c r="AE11" s="419">
        <f>SUM('26:25'!AE11)</f>
        <v>0</v>
      </c>
      <c r="AF11" s="419">
        <f>SUM('26:25'!AF11)</f>
        <v>0</v>
      </c>
      <c r="AG11" s="419">
        <f>SUM('26:25'!AG11)</f>
        <v>0</v>
      </c>
      <c r="AH11" s="419">
        <f>SUM('26:25'!AH11)</f>
        <v>0</v>
      </c>
      <c r="AI11" s="419">
        <f>SUM('26:25'!AI11)</f>
        <v>0</v>
      </c>
      <c r="AJ11" s="419">
        <f>SUM('26:25'!AJ11)</f>
        <v>0</v>
      </c>
      <c r="AK11" s="593"/>
      <c r="AL11" s="419">
        <f>SUM('26:25'!AL11)</f>
        <v>5780</v>
      </c>
      <c r="AM11" s="419">
        <f>SUM('26:25'!AM11)</f>
        <v>2160</v>
      </c>
      <c r="AN11" s="419">
        <f>SUM('26:25'!AN11)</f>
        <v>0</v>
      </c>
      <c r="AO11" s="419">
        <f>SUM('26:25'!AO11)</f>
        <v>6300</v>
      </c>
      <c r="AP11" s="597"/>
      <c r="AQ11" s="419">
        <f>SUM('26:25'!AQ11)</f>
        <v>0</v>
      </c>
      <c r="AR11" s="419">
        <f>SUM('26:25'!AR11)</f>
        <v>0</v>
      </c>
      <c r="AS11" s="419">
        <f>SUM('26:25'!AS11)</f>
        <v>0</v>
      </c>
      <c r="AT11" s="419">
        <f>SUM('26:25'!AT11)</f>
        <v>0</v>
      </c>
      <c r="AU11" s="419">
        <f>SUM('26:25'!AU11)</f>
        <v>0</v>
      </c>
      <c r="AV11" s="419">
        <f>SUM('26:25'!AV11)</f>
        <v>0</v>
      </c>
      <c r="AW11" s="419">
        <f>SUM('26:25'!AW11)</f>
        <v>0</v>
      </c>
      <c r="AX11" s="419">
        <f>SUM('26:25'!AX11)</f>
        <v>0</v>
      </c>
      <c r="AY11" s="419">
        <f>SUM('26:25'!AY11)</f>
        <v>0</v>
      </c>
      <c r="AZ11" s="419">
        <f>SUM('26:25'!AZ11)</f>
        <v>0</v>
      </c>
      <c r="BA11" s="419">
        <f>SUM('26:25'!BA11)</f>
        <v>0</v>
      </c>
      <c r="BB11" s="419">
        <f>SUM('26:25'!BB11)</f>
        <v>0</v>
      </c>
      <c r="BC11" s="419">
        <f>SUM('26:25'!BC11)</f>
        <v>0</v>
      </c>
      <c r="BD11" s="593"/>
      <c r="BE11" s="419">
        <f>SUM('26:25'!BE11)</f>
        <v>0</v>
      </c>
      <c r="BF11" s="419">
        <f>SUM('26:25'!BF11)</f>
        <v>0</v>
      </c>
      <c r="BG11" s="419">
        <f>SUM('26:25'!BG11)</f>
        <v>0</v>
      </c>
      <c r="BH11" s="419">
        <f>SUM('26:25'!BH11)</f>
        <v>0</v>
      </c>
      <c r="BI11" s="593"/>
      <c r="BJ11" s="419">
        <f>SUM('26:25'!BJ11)</f>
        <v>0</v>
      </c>
      <c r="BK11" s="419">
        <f>SUM('26:25'!BK11)</f>
        <v>0</v>
      </c>
      <c r="BL11" s="419">
        <f>SUM('26:25'!BL11)</f>
        <v>0</v>
      </c>
      <c r="BM11" s="419">
        <f>SUM('26:25'!BM11)</f>
        <v>0</v>
      </c>
      <c r="BN11" s="419">
        <f>SUM('26:25'!BN11)</f>
        <v>0</v>
      </c>
      <c r="BO11" s="419">
        <f>SUM('26:25'!BO11)</f>
        <v>0</v>
      </c>
      <c r="BP11" s="419">
        <f>SUM('26:25'!BP11)</f>
        <v>0</v>
      </c>
      <c r="BQ11" s="419">
        <f>SUM('26:25'!BQ11)</f>
        <v>0</v>
      </c>
      <c r="BR11" s="419">
        <f>SUM('26:25'!BR11)</f>
        <v>60</v>
      </c>
      <c r="BS11" s="419">
        <f>SUM('26:25'!BS11)</f>
        <v>0</v>
      </c>
      <c r="BT11" s="419">
        <f>SUM('26:25'!BT11)</f>
        <v>0</v>
      </c>
      <c r="BU11" s="419">
        <f>SUM('26:25'!BU11)</f>
        <v>0</v>
      </c>
      <c r="BV11" s="419">
        <f>SUM('26:25'!BV11)</f>
        <v>0</v>
      </c>
      <c r="BW11" s="419">
        <f>SUM('26:25'!BW11)</f>
        <v>0</v>
      </c>
      <c r="BX11" s="599"/>
      <c r="BY11">
        <v>79040</v>
      </c>
      <c r="BZ11">
        <v>62410</v>
      </c>
      <c r="CA11">
        <v>1860</v>
      </c>
      <c r="CD11" s="74"/>
      <c r="CE11" s="74"/>
      <c r="CF11" s="74"/>
    </row>
    <row r="12" spans="1:84" ht="19.5" customHeight="1">
      <c r="A12" s="418">
        <f>'BANG LUONG 1'!A12</f>
        <v>11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>
        <f>SUM('26:25'!E12)</f>
        <v>0</v>
      </c>
      <c r="F12" s="419">
        <f>SUM('26:25'!F12)</f>
        <v>0</v>
      </c>
      <c r="G12" s="419">
        <f>SUM('26:25'!G12)</f>
        <v>0</v>
      </c>
      <c r="H12" s="419">
        <f>SUM('26:25'!H12)</f>
        <v>0</v>
      </c>
      <c r="I12" s="419">
        <f>SUM('26:25'!I12)</f>
        <v>0</v>
      </c>
      <c r="J12" s="419">
        <f>SUM('26:25'!J12)</f>
        <v>0</v>
      </c>
      <c r="K12" s="419">
        <f>SUM('26:25'!K12)</f>
        <v>0</v>
      </c>
      <c r="L12" s="419">
        <f>SUM('26:25'!L12)</f>
        <v>0</v>
      </c>
      <c r="M12" s="419">
        <f>SUM('26:25'!M12)</f>
        <v>0</v>
      </c>
      <c r="N12" s="419">
        <f>SUM('26:25'!N12)</f>
        <v>0</v>
      </c>
      <c r="O12" s="419">
        <f>SUM('26:25'!O12)</f>
        <v>0</v>
      </c>
      <c r="P12" s="419">
        <f>SUM('26:25'!P12)</f>
        <v>0</v>
      </c>
      <c r="Q12" s="419">
        <f>SUM('26:25'!Q12)</f>
        <v>0</v>
      </c>
      <c r="R12" s="419">
        <f>SUM('26:25'!R12)</f>
        <v>0</v>
      </c>
      <c r="S12" s="419">
        <f>SUM('26:25'!S12)</f>
        <v>0</v>
      </c>
      <c r="T12" s="419">
        <f>SUM('26:25'!T12)</f>
        <v>0</v>
      </c>
      <c r="U12" s="593"/>
      <c r="V12" s="419">
        <f>SUM('26:25'!V12)</f>
        <v>0</v>
      </c>
      <c r="W12" s="419">
        <f>SUM('26:25'!W12)</f>
        <v>0</v>
      </c>
      <c r="X12" s="419">
        <f>SUM('26:25'!X12)</f>
        <v>0</v>
      </c>
      <c r="Y12" s="419">
        <f>SUM('26:25'!Y12)</f>
        <v>0</v>
      </c>
      <c r="Z12" s="419">
        <f>SUM('26:25'!Z12)</f>
        <v>0</v>
      </c>
      <c r="AA12" s="419">
        <f>SUM('26:25'!AA12)</f>
        <v>0</v>
      </c>
      <c r="AB12" s="419">
        <f>SUM('26:25'!AB12)</f>
        <v>0</v>
      </c>
      <c r="AC12" s="419">
        <f>SUM('26:25'!AC12)</f>
        <v>0</v>
      </c>
      <c r="AD12" s="419">
        <f>SUM('26:25'!AD12)</f>
        <v>0</v>
      </c>
      <c r="AE12" s="419">
        <f>SUM('26:25'!AE12)</f>
        <v>0</v>
      </c>
      <c r="AF12" s="419">
        <f>SUM('26:25'!AF12)</f>
        <v>0</v>
      </c>
      <c r="AG12" s="419">
        <f>SUM('26:25'!AG12)</f>
        <v>0</v>
      </c>
      <c r="AH12" s="419">
        <f>SUM('26:25'!AH12)</f>
        <v>0</v>
      </c>
      <c r="AI12" s="419">
        <f>SUM('26:25'!AI12)</f>
        <v>0</v>
      </c>
      <c r="AJ12" s="419">
        <f>SUM('26:25'!AJ12)</f>
        <v>0</v>
      </c>
      <c r="AK12" s="593"/>
      <c r="AL12" s="419">
        <f>SUM('26:25'!AL12)</f>
        <v>8100</v>
      </c>
      <c r="AM12" s="419">
        <f>SUM('26:25'!AM12)</f>
        <v>2160</v>
      </c>
      <c r="AN12" s="419">
        <f>SUM('26:25'!AN12)</f>
        <v>0</v>
      </c>
      <c r="AO12" s="419">
        <f>SUM('26:25'!AO12)</f>
        <v>6300</v>
      </c>
      <c r="AP12" s="597"/>
      <c r="AQ12" s="419">
        <f>SUM('26:25'!AQ12)</f>
        <v>0</v>
      </c>
      <c r="AR12" s="419">
        <f>SUM('26:25'!AR12)</f>
        <v>0</v>
      </c>
      <c r="AS12" s="419">
        <f>SUM('26:25'!AS12)</f>
        <v>0</v>
      </c>
      <c r="AT12" s="419">
        <f>SUM('26:25'!AT12)</f>
        <v>0</v>
      </c>
      <c r="AU12" s="419">
        <f>SUM('26:25'!AU12)</f>
        <v>0</v>
      </c>
      <c r="AV12" s="419">
        <f>SUM('26:25'!AV12)</f>
        <v>0</v>
      </c>
      <c r="AW12" s="419">
        <f>SUM('26:25'!AW12)</f>
        <v>0</v>
      </c>
      <c r="AX12" s="419">
        <f>SUM('26:25'!AX12)</f>
        <v>0</v>
      </c>
      <c r="AY12" s="419">
        <f>SUM('26:25'!AY12)</f>
        <v>0</v>
      </c>
      <c r="AZ12" s="419">
        <f>SUM('26:25'!AZ12)</f>
        <v>0</v>
      </c>
      <c r="BA12" s="419">
        <f>SUM('26:25'!BA12)</f>
        <v>0</v>
      </c>
      <c r="BB12" s="419">
        <f>SUM('26:25'!BB12)</f>
        <v>0</v>
      </c>
      <c r="BC12" s="419">
        <f>SUM('26:25'!BC12)</f>
        <v>0</v>
      </c>
      <c r="BD12" s="593"/>
      <c r="BE12" s="419">
        <f>SUM('26:25'!BE12)</f>
        <v>0</v>
      </c>
      <c r="BF12" s="419">
        <f>SUM('26:25'!BF12)</f>
        <v>0</v>
      </c>
      <c r="BG12" s="419">
        <f>SUM('26:25'!BG12)</f>
        <v>0</v>
      </c>
      <c r="BH12" s="419">
        <f>SUM('26:25'!BH12)</f>
        <v>0</v>
      </c>
      <c r="BI12" s="593"/>
      <c r="BJ12" s="419">
        <f>SUM('26:25'!BJ12)</f>
        <v>0</v>
      </c>
      <c r="BK12" s="419">
        <f>SUM('26:25'!BK12)</f>
        <v>0</v>
      </c>
      <c r="BL12" s="419">
        <f>SUM('26:25'!BL12)</f>
        <v>0</v>
      </c>
      <c r="BM12" s="419">
        <f>SUM('26:25'!BM12)</f>
        <v>0</v>
      </c>
      <c r="BN12" s="419">
        <f>SUM('26:25'!BN12)</f>
        <v>0</v>
      </c>
      <c r="BO12" s="419">
        <f>SUM('26:25'!BO12)</f>
        <v>0</v>
      </c>
      <c r="BP12" s="419">
        <f>SUM('26:25'!BP12)</f>
        <v>0</v>
      </c>
      <c r="BQ12" s="419">
        <f>SUM('26:25'!BQ12)</f>
        <v>0</v>
      </c>
      <c r="BR12" s="419">
        <f>SUM('26:25'!BR12)</f>
        <v>0</v>
      </c>
      <c r="BS12" s="419">
        <f>SUM('26:25'!BS12)</f>
        <v>0</v>
      </c>
      <c r="BT12" s="419">
        <f>SUM('26:25'!BT12)</f>
        <v>0</v>
      </c>
      <c r="BU12" s="419">
        <f>SUM('26:25'!BU12)</f>
        <v>0</v>
      </c>
      <c r="BV12" s="419">
        <f>SUM('26:25'!BV12)</f>
        <v>0</v>
      </c>
      <c r="BW12" s="419">
        <f>SUM('26:25'!BW12)</f>
        <v>0</v>
      </c>
      <c r="BX12" s="599"/>
      <c r="BY12">
        <v>143060</v>
      </c>
      <c r="BZ12">
        <v>45770</v>
      </c>
      <c r="CA12">
        <v>28390</v>
      </c>
      <c r="CD12" s="74"/>
      <c r="CE12" s="74"/>
      <c r="CF12" s="74"/>
    </row>
    <row r="13" spans="1:84" ht="19.5" customHeight="1">
      <c r="A13" s="418">
        <f>'BANG LUONG 1'!A13</f>
        <v>12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>
        <f>SUM('26:25'!E13)</f>
        <v>0</v>
      </c>
      <c r="F13" s="419">
        <f>SUM('26:25'!F13)</f>
        <v>0</v>
      </c>
      <c r="G13" s="419">
        <f>SUM('26:25'!G13)</f>
        <v>0</v>
      </c>
      <c r="H13" s="419">
        <f>SUM('26:25'!H13)</f>
        <v>0</v>
      </c>
      <c r="I13" s="419">
        <f>SUM('26:25'!I13)</f>
        <v>0</v>
      </c>
      <c r="J13" s="419">
        <f>SUM('26:25'!J13)</f>
        <v>0</v>
      </c>
      <c r="K13" s="419">
        <f>SUM('26:25'!K13)</f>
        <v>0</v>
      </c>
      <c r="L13" s="419">
        <f>SUM('26:25'!L13)</f>
        <v>0</v>
      </c>
      <c r="M13" s="419">
        <f>SUM('26:25'!M13)</f>
        <v>0</v>
      </c>
      <c r="N13" s="419">
        <f>SUM('26:25'!N13)</f>
        <v>0</v>
      </c>
      <c r="O13" s="419">
        <f>SUM('26:25'!O13)</f>
        <v>0</v>
      </c>
      <c r="P13" s="419">
        <f>SUM('26:25'!P13)</f>
        <v>0</v>
      </c>
      <c r="Q13" s="419">
        <f>SUM('26:25'!Q13)</f>
        <v>0</v>
      </c>
      <c r="R13" s="419">
        <f>SUM('26:25'!R13)</f>
        <v>0</v>
      </c>
      <c r="S13" s="419">
        <f>SUM('26:25'!S13)</f>
        <v>0</v>
      </c>
      <c r="T13" s="419">
        <f>SUM('26:25'!T13)</f>
        <v>0</v>
      </c>
      <c r="U13" s="593"/>
      <c r="V13" s="419">
        <f>SUM('26:25'!V13)</f>
        <v>0</v>
      </c>
      <c r="W13" s="419">
        <f>SUM('26:25'!W13)</f>
        <v>0</v>
      </c>
      <c r="X13" s="419">
        <f>SUM('26:25'!X13)</f>
        <v>0</v>
      </c>
      <c r="Y13" s="419">
        <f>SUM('26:25'!Y13)</f>
        <v>0</v>
      </c>
      <c r="Z13" s="419">
        <f>SUM('26:25'!Z13)</f>
        <v>0</v>
      </c>
      <c r="AA13" s="419">
        <f>SUM('26:25'!AA13)</f>
        <v>0</v>
      </c>
      <c r="AB13" s="419">
        <f>SUM('26:25'!AB13)</f>
        <v>0</v>
      </c>
      <c r="AC13" s="419">
        <f>SUM('26:25'!AC13)</f>
        <v>0</v>
      </c>
      <c r="AD13" s="419">
        <f>SUM('26:25'!AD13)</f>
        <v>0</v>
      </c>
      <c r="AE13" s="419">
        <f>SUM('26:25'!AE13)</f>
        <v>0</v>
      </c>
      <c r="AF13" s="419">
        <f>SUM('26:25'!AF13)</f>
        <v>0</v>
      </c>
      <c r="AG13" s="419">
        <f>SUM('26:25'!AG13)</f>
        <v>0</v>
      </c>
      <c r="AH13" s="419">
        <f>SUM('26:25'!AH13)</f>
        <v>0</v>
      </c>
      <c r="AI13" s="419">
        <f>SUM('26:25'!AI13)</f>
        <v>0</v>
      </c>
      <c r="AJ13" s="419">
        <f>SUM('26:25'!AJ13)</f>
        <v>0</v>
      </c>
      <c r="AK13" s="593"/>
      <c r="AL13" s="419">
        <f>SUM('26:25'!AL13)</f>
        <v>5780</v>
      </c>
      <c r="AM13" s="419">
        <f>SUM('26:25'!AM13)</f>
        <v>2160</v>
      </c>
      <c r="AN13" s="419">
        <f>SUM('26:25'!AN13)</f>
        <v>0</v>
      </c>
      <c r="AO13" s="419">
        <f>SUM('26:25'!AO13)</f>
        <v>6300</v>
      </c>
      <c r="AP13" s="597"/>
      <c r="AQ13" s="419">
        <f>SUM('26:25'!AQ13)</f>
        <v>0</v>
      </c>
      <c r="AR13" s="419">
        <f>SUM('26:25'!AR13)</f>
        <v>0</v>
      </c>
      <c r="AS13" s="419">
        <f>SUM('26:25'!AS13)</f>
        <v>0</v>
      </c>
      <c r="AT13" s="419">
        <f>SUM('26:25'!AT13)</f>
        <v>0</v>
      </c>
      <c r="AU13" s="419">
        <f>SUM('26:25'!AU13)</f>
        <v>0</v>
      </c>
      <c r="AV13" s="419">
        <f>SUM('26:25'!AV13)</f>
        <v>0</v>
      </c>
      <c r="AW13" s="419">
        <f>SUM('26:25'!AW13)</f>
        <v>0</v>
      </c>
      <c r="AX13" s="419">
        <f>SUM('26:25'!AX13)</f>
        <v>0</v>
      </c>
      <c r="AY13" s="419">
        <f>SUM('26:25'!AY13)</f>
        <v>0</v>
      </c>
      <c r="AZ13" s="419">
        <f>SUM('26:25'!AZ13)</f>
        <v>0</v>
      </c>
      <c r="BA13" s="419">
        <f>SUM('26:25'!BA13)</f>
        <v>0</v>
      </c>
      <c r="BB13" s="419">
        <f>SUM('26:25'!BB13)</f>
        <v>0</v>
      </c>
      <c r="BC13" s="419">
        <f>SUM('26:25'!BC13)</f>
        <v>0</v>
      </c>
      <c r="BD13" s="593"/>
      <c r="BE13" s="419">
        <f>SUM('26:25'!BE13)</f>
        <v>0</v>
      </c>
      <c r="BF13" s="419">
        <f>SUM('26:25'!BF13)</f>
        <v>0</v>
      </c>
      <c r="BG13" s="419">
        <f>SUM('26:25'!BG13)</f>
        <v>0</v>
      </c>
      <c r="BH13" s="419">
        <f>SUM('26:25'!BH13)</f>
        <v>0</v>
      </c>
      <c r="BI13" s="593"/>
      <c r="BJ13" s="419">
        <f>SUM('26:25'!BJ13)</f>
        <v>0</v>
      </c>
      <c r="BK13" s="419">
        <f>SUM('26:25'!BK13)</f>
        <v>0</v>
      </c>
      <c r="BL13" s="419">
        <f>SUM('26:25'!BL13)</f>
        <v>0</v>
      </c>
      <c r="BM13" s="419">
        <f>SUM('26:25'!BM13)</f>
        <v>0</v>
      </c>
      <c r="BN13" s="419">
        <f>SUM('26:25'!BN13)</f>
        <v>0</v>
      </c>
      <c r="BO13" s="419">
        <f>SUM('26:25'!BO13)</f>
        <v>0</v>
      </c>
      <c r="BP13" s="419">
        <f>SUM('26:25'!BP13)</f>
        <v>0</v>
      </c>
      <c r="BQ13" s="419">
        <f>SUM('26:25'!BQ13)</f>
        <v>0</v>
      </c>
      <c r="BR13" s="419">
        <f>SUM('26:25'!BR13)</f>
        <v>60</v>
      </c>
      <c r="BS13" s="419">
        <f>SUM('26:25'!BS13)</f>
        <v>0</v>
      </c>
      <c r="BT13" s="419">
        <f>SUM('26:25'!BT13)</f>
        <v>0</v>
      </c>
      <c r="BU13" s="419">
        <f>SUM('26:25'!BU13)</f>
        <v>0</v>
      </c>
      <c r="BV13" s="419">
        <f>SUM('26:25'!BV13)</f>
        <v>0</v>
      </c>
      <c r="BW13" s="419">
        <f>SUM('26:25'!BW13)</f>
        <v>0</v>
      </c>
      <c r="BX13" s="638"/>
      <c r="BY13">
        <v>226240</v>
      </c>
      <c r="BZ13">
        <v>43790</v>
      </c>
      <c r="CD13" s="74"/>
      <c r="CE13" s="74"/>
      <c r="CF13" s="74"/>
    </row>
    <row r="14" spans="1:84" ht="19.5" customHeight="1">
      <c r="A14" s="418"/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>
        <f>SUM('26:25'!E14)</f>
        <v>0</v>
      </c>
      <c r="F14" s="419">
        <f>SUM('26:25'!F14)</f>
        <v>0</v>
      </c>
      <c r="G14" s="419">
        <f>SUM('26:25'!G14)</f>
        <v>0</v>
      </c>
      <c r="H14" s="419">
        <f>SUM('26:25'!H14)</f>
        <v>0</v>
      </c>
      <c r="I14" s="419">
        <f>SUM('26:25'!I14)</f>
        <v>0</v>
      </c>
      <c r="J14" s="419">
        <f>SUM('26:25'!J14)</f>
        <v>0</v>
      </c>
      <c r="K14" s="419">
        <f>SUM('26:25'!K14)</f>
        <v>0</v>
      </c>
      <c r="L14" s="419">
        <f>SUM('26:25'!L14)</f>
        <v>0</v>
      </c>
      <c r="M14" s="419">
        <f>SUM('26:25'!M14)</f>
        <v>0</v>
      </c>
      <c r="N14" s="419">
        <f>SUM('26:25'!N14)</f>
        <v>0</v>
      </c>
      <c r="O14" s="419">
        <f>SUM('26:25'!O14)</f>
        <v>0</v>
      </c>
      <c r="P14" s="419">
        <f>SUM('26:25'!P14)</f>
        <v>0</v>
      </c>
      <c r="Q14" s="419">
        <f>SUM('26:25'!Q14)</f>
        <v>0</v>
      </c>
      <c r="R14" s="419">
        <f>SUM('26:25'!R14)</f>
        <v>0</v>
      </c>
      <c r="S14" s="419">
        <f>SUM('26:25'!S14)</f>
        <v>0</v>
      </c>
      <c r="T14" s="419">
        <f>SUM('26:25'!T14)</f>
        <v>0</v>
      </c>
      <c r="U14" s="593"/>
      <c r="V14" s="419">
        <f>SUM('26:25'!V14)</f>
        <v>0</v>
      </c>
      <c r="W14" s="419">
        <f>SUM('26:25'!W14)</f>
        <v>0</v>
      </c>
      <c r="X14" s="419">
        <f>SUM('26:25'!X14)</f>
        <v>0</v>
      </c>
      <c r="Y14" s="419">
        <f>SUM('26:25'!Y14)</f>
        <v>0</v>
      </c>
      <c r="Z14" s="419">
        <f>SUM('26:25'!Z14)</f>
        <v>0</v>
      </c>
      <c r="AA14" s="419">
        <f>SUM('26:25'!AA14)</f>
        <v>0</v>
      </c>
      <c r="AB14" s="419">
        <f>SUM('26:25'!AB14)</f>
        <v>0</v>
      </c>
      <c r="AC14" s="419">
        <f>SUM('26:25'!AC14)</f>
        <v>0</v>
      </c>
      <c r="AD14" s="419">
        <f>SUM('26:25'!AD14)</f>
        <v>0</v>
      </c>
      <c r="AE14" s="419">
        <f>SUM('26:25'!AE14)</f>
        <v>0</v>
      </c>
      <c r="AF14" s="419">
        <f>SUM('26:25'!AF14)</f>
        <v>0</v>
      </c>
      <c r="AG14" s="419">
        <f>SUM('26:25'!AG14)</f>
        <v>0</v>
      </c>
      <c r="AH14" s="419">
        <f>SUM('26:25'!AH14)</f>
        <v>0</v>
      </c>
      <c r="AI14" s="419">
        <f>SUM('26:25'!AI14)</f>
        <v>0</v>
      </c>
      <c r="AJ14" s="419">
        <f>SUM('26:25'!AJ14)</f>
        <v>0</v>
      </c>
      <c r="AK14" s="593"/>
      <c r="AL14" s="419">
        <f>SUM('26:25'!AL14)</f>
        <v>5780</v>
      </c>
      <c r="AM14" s="419">
        <f>SUM('26:25'!AM14)</f>
        <v>2160</v>
      </c>
      <c r="AN14" s="419">
        <f>SUM('26:25'!AN14)</f>
        <v>0</v>
      </c>
      <c r="AO14" s="419">
        <f>SUM('26:25'!AO14)</f>
        <v>6300</v>
      </c>
      <c r="AP14" s="597"/>
      <c r="AQ14" s="419">
        <f>SUM('26:25'!AQ14)</f>
        <v>0</v>
      </c>
      <c r="AR14" s="419">
        <f>SUM('26:25'!AR14)</f>
        <v>0</v>
      </c>
      <c r="AS14" s="419">
        <f>SUM('26:25'!AS14)</f>
        <v>0</v>
      </c>
      <c r="AT14" s="419">
        <f>SUM('26:25'!AT14)</f>
        <v>0</v>
      </c>
      <c r="AU14" s="419">
        <f>SUM('26:25'!AU14)</f>
        <v>0</v>
      </c>
      <c r="AV14" s="419">
        <f>SUM('26:25'!AV14)</f>
        <v>0</v>
      </c>
      <c r="AW14" s="419">
        <f>SUM('26:25'!AW14)</f>
        <v>0</v>
      </c>
      <c r="AX14" s="419">
        <f>SUM('26:25'!AX14)</f>
        <v>0</v>
      </c>
      <c r="AY14" s="419">
        <f>SUM('26:25'!AY14)</f>
        <v>0</v>
      </c>
      <c r="AZ14" s="419">
        <f>SUM('26:25'!AZ14)</f>
        <v>0</v>
      </c>
      <c r="BA14" s="419">
        <f>SUM('26:25'!BA14)</f>
        <v>0</v>
      </c>
      <c r="BB14" s="419">
        <f>SUM('26:25'!BB14)</f>
        <v>0</v>
      </c>
      <c r="BC14" s="419">
        <f>SUM('26:25'!BC14)</f>
        <v>0</v>
      </c>
      <c r="BD14" s="593"/>
      <c r="BE14" s="419">
        <f>SUM('26:25'!BE14)</f>
        <v>0</v>
      </c>
      <c r="BF14" s="419">
        <f>SUM('26:25'!BF14)</f>
        <v>0</v>
      </c>
      <c r="BG14" s="419">
        <f>SUM('26:25'!BG14)</f>
        <v>0</v>
      </c>
      <c r="BH14" s="419">
        <f>SUM('26:25'!BH14)</f>
        <v>0</v>
      </c>
      <c r="BI14" s="593"/>
      <c r="BJ14" s="419">
        <f>SUM('26:25'!BJ14)</f>
        <v>0</v>
      </c>
      <c r="BK14" s="419">
        <f>SUM('26:25'!BK14)</f>
        <v>0</v>
      </c>
      <c r="BL14" s="419">
        <f>SUM('26:25'!BL14)</f>
        <v>0</v>
      </c>
      <c r="BM14" s="419">
        <f>SUM('26:25'!BM14)</f>
        <v>0</v>
      </c>
      <c r="BN14" s="419">
        <f>SUM('26:25'!BN14)</f>
        <v>0</v>
      </c>
      <c r="BO14" s="419">
        <f>SUM('26:25'!BO14)</f>
        <v>0</v>
      </c>
      <c r="BP14" s="419">
        <f>SUM('26:25'!BP14)</f>
        <v>0</v>
      </c>
      <c r="BQ14" s="419">
        <f>SUM('26:25'!BQ14)</f>
        <v>0</v>
      </c>
      <c r="BR14" s="419">
        <f>SUM('26:25'!BR14)</f>
        <v>60</v>
      </c>
      <c r="BS14" s="419">
        <f>SUM('26:25'!BS14)</f>
        <v>0</v>
      </c>
      <c r="BT14" s="419">
        <f>SUM('26:25'!BT14)</f>
        <v>0</v>
      </c>
      <c r="BU14" s="419">
        <f>SUM('26:25'!BU14)</f>
        <v>0</v>
      </c>
      <c r="BV14" s="419">
        <f>SUM('26:25'!BV14)</f>
        <v>0</v>
      </c>
      <c r="BW14" s="419">
        <f>SUM('26:25'!BW14)</f>
        <v>0</v>
      </c>
      <c r="BX14" s="638"/>
      <c r="BY14">
        <v>83570</v>
      </c>
      <c r="BZ14">
        <v>53420</v>
      </c>
      <c r="CA14">
        <v>22450</v>
      </c>
      <c r="CD14" s="74"/>
      <c r="CE14" s="74"/>
      <c r="CF14" s="74"/>
    </row>
    <row r="15" spans="1:84" ht="19.5" customHeight="1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>
        <f>SUM('26:25'!E15)</f>
        <v>0</v>
      </c>
      <c r="F15" s="419">
        <f>SUM('26:25'!F15)</f>
        <v>0</v>
      </c>
      <c r="G15" s="419">
        <f>SUM('26:25'!G15)</f>
        <v>0</v>
      </c>
      <c r="H15" s="419">
        <f>SUM('26:25'!H15)</f>
        <v>0</v>
      </c>
      <c r="I15" s="419">
        <f>SUM('26:25'!I15)</f>
        <v>0</v>
      </c>
      <c r="J15" s="419">
        <f>SUM('26:25'!J15)</f>
        <v>0</v>
      </c>
      <c r="K15" s="419">
        <f>SUM('26:25'!K15)</f>
        <v>0</v>
      </c>
      <c r="L15" s="419">
        <f>SUM('26:25'!L15)</f>
        <v>0</v>
      </c>
      <c r="M15" s="419">
        <f>SUM('26:25'!M15)</f>
        <v>0</v>
      </c>
      <c r="N15" s="419">
        <f>SUM('26:25'!N15)</f>
        <v>0</v>
      </c>
      <c r="O15" s="419">
        <f>SUM('26:25'!O15)</f>
        <v>0</v>
      </c>
      <c r="P15" s="419">
        <f>SUM('26:25'!P15)</f>
        <v>0</v>
      </c>
      <c r="Q15" s="419">
        <f>SUM('26:25'!Q15)</f>
        <v>0</v>
      </c>
      <c r="R15" s="419">
        <f>SUM('26:25'!R15)</f>
        <v>0</v>
      </c>
      <c r="S15" s="419">
        <f>SUM('26:25'!S15)</f>
        <v>0</v>
      </c>
      <c r="T15" s="419">
        <f>SUM('26:25'!T15)</f>
        <v>0</v>
      </c>
      <c r="U15" s="593"/>
      <c r="V15" s="419">
        <f>SUM('26:25'!V15)</f>
        <v>0</v>
      </c>
      <c r="W15" s="419">
        <f>SUM('26:25'!W15)</f>
        <v>0</v>
      </c>
      <c r="X15" s="419">
        <f>SUM('26:25'!X15)</f>
        <v>0</v>
      </c>
      <c r="Y15" s="419">
        <f>SUM('26:25'!Y15)</f>
        <v>0</v>
      </c>
      <c r="Z15" s="419">
        <f>SUM('26:25'!Z15)</f>
        <v>0</v>
      </c>
      <c r="AA15" s="419">
        <f>SUM('26:25'!AA15)</f>
        <v>0</v>
      </c>
      <c r="AB15" s="419">
        <f>SUM('26:25'!AB15)</f>
        <v>0</v>
      </c>
      <c r="AC15" s="419">
        <f>SUM('26:25'!AC15)</f>
        <v>0</v>
      </c>
      <c r="AD15" s="419">
        <f>SUM('26:25'!AD15)</f>
        <v>0</v>
      </c>
      <c r="AE15" s="419">
        <f>SUM('26:25'!AE15)</f>
        <v>0</v>
      </c>
      <c r="AF15" s="419">
        <f>SUM('26:25'!AF15)</f>
        <v>0</v>
      </c>
      <c r="AG15" s="419">
        <f>SUM('26:25'!AG15)</f>
        <v>0</v>
      </c>
      <c r="AH15" s="419">
        <f>SUM('26:25'!AH15)</f>
        <v>0</v>
      </c>
      <c r="AI15" s="419">
        <f>SUM('26:25'!AI15)</f>
        <v>0</v>
      </c>
      <c r="AJ15" s="419">
        <f>SUM('26:25'!AJ15)</f>
        <v>0</v>
      </c>
      <c r="AK15" s="593"/>
      <c r="AL15" s="419">
        <f>SUM('26:25'!AL15)</f>
        <v>8100</v>
      </c>
      <c r="AM15" s="419">
        <f>SUM('26:25'!AM15)</f>
        <v>2160</v>
      </c>
      <c r="AN15" s="419">
        <f>SUM('26:25'!AN15)</f>
        <v>0</v>
      </c>
      <c r="AO15" s="419">
        <f>SUM('26:25'!AO15)</f>
        <v>6300</v>
      </c>
      <c r="AP15" s="597"/>
      <c r="AQ15" s="419">
        <f>SUM('26:25'!AQ15)</f>
        <v>0</v>
      </c>
      <c r="AR15" s="419">
        <f>SUM('26:25'!AR15)</f>
        <v>0</v>
      </c>
      <c r="AS15" s="419">
        <f>SUM('26:25'!AS15)</f>
        <v>0</v>
      </c>
      <c r="AT15" s="419">
        <f>SUM('26:25'!AT15)</f>
        <v>0</v>
      </c>
      <c r="AU15" s="419">
        <f>SUM('26:25'!AU15)</f>
        <v>0</v>
      </c>
      <c r="AV15" s="419">
        <f>SUM('26:25'!AV15)</f>
        <v>0</v>
      </c>
      <c r="AW15" s="419">
        <f>SUM('26:25'!AW15)</f>
        <v>0</v>
      </c>
      <c r="AX15" s="419">
        <f>SUM('26:25'!AX15)</f>
        <v>0</v>
      </c>
      <c r="AY15" s="419">
        <f>SUM('26:25'!AY15)</f>
        <v>0</v>
      </c>
      <c r="AZ15" s="419">
        <f>SUM('26:25'!AZ15)</f>
        <v>0</v>
      </c>
      <c r="BA15" s="419">
        <f>SUM('26:25'!BA15)</f>
        <v>0</v>
      </c>
      <c r="BB15" s="419">
        <f>SUM('26:25'!BB15)</f>
        <v>0</v>
      </c>
      <c r="BC15" s="419">
        <f>SUM('26:25'!BC15)</f>
        <v>0</v>
      </c>
      <c r="BD15" s="593"/>
      <c r="BE15" s="419">
        <f>SUM('26:25'!BE15)</f>
        <v>0</v>
      </c>
      <c r="BF15" s="419">
        <f>SUM('26:25'!BF15)</f>
        <v>0</v>
      </c>
      <c r="BG15" s="419">
        <f>SUM('26:25'!BG15)</f>
        <v>0</v>
      </c>
      <c r="BH15" s="419">
        <f>SUM('26:25'!BH15)</f>
        <v>0</v>
      </c>
      <c r="BI15" s="593"/>
      <c r="BJ15" s="419">
        <f>SUM('26:25'!BJ15)</f>
        <v>0</v>
      </c>
      <c r="BK15" s="419">
        <f>SUM('26:25'!BK15)</f>
        <v>0</v>
      </c>
      <c r="BL15" s="419">
        <f>SUM('26:25'!BL15)</f>
        <v>0</v>
      </c>
      <c r="BM15" s="419">
        <f>SUM('26:25'!BM15)</f>
        <v>0</v>
      </c>
      <c r="BN15" s="419">
        <f>SUM('26:25'!BN15)</f>
        <v>0</v>
      </c>
      <c r="BO15" s="419">
        <f>SUM('26:25'!BO15)</f>
        <v>0</v>
      </c>
      <c r="BP15" s="419">
        <f>SUM('26:25'!BP15)</f>
        <v>0</v>
      </c>
      <c r="BQ15" s="419">
        <f>SUM('26:25'!BQ15)</f>
        <v>0</v>
      </c>
      <c r="BR15" s="419">
        <f>SUM('26:25'!BR15)</f>
        <v>0</v>
      </c>
      <c r="BS15" s="419">
        <f>SUM('26:25'!BS15)</f>
        <v>0</v>
      </c>
      <c r="BT15" s="419">
        <f>SUM('26:25'!BT15)</f>
        <v>0</v>
      </c>
      <c r="BU15" s="419">
        <f>SUM('26:25'!BU15)</f>
        <v>0</v>
      </c>
      <c r="BV15" s="419">
        <f>SUM('26:25'!BV15)</f>
        <v>0</v>
      </c>
      <c r="BW15" s="419">
        <f>SUM('26:25'!BW15)</f>
        <v>0</v>
      </c>
      <c r="BX15" s="638"/>
      <c r="BY15">
        <v>173260</v>
      </c>
      <c r="BZ15">
        <v>16030</v>
      </c>
      <c r="CA15">
        <v>8250</v>
      </c>
      <c r="CD15" s="74"/>
      <c r="CE15" s="74"/>
      <c r="CF15" s="74"/>
    </row>
    <row r="16" spans="1:84" ht="19.5" customHeight="1">
      <c r="A16" s="418">
        <f>'BANG LUONG 1'!A16</f>
        <v>38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>
        <f>SUM('26:25'!E16)</f>
        <v>0</v>
      </c>
      <c r="F16" s="419">
        <f>SUM('26:25'!F16)</f>
        <v>0</v>
      </c>
      <c r="G16" s="419">
        <f>SUM('26:25'!G16)</f>
        <v>0</v>
      </c>
      <c r="H16" s="419">
        <f>SUM('26:25'!H16)</f>
        <v>0</v>
      </c>
      <c r="I16" s="419">
        <f>SUM('26:25'!I16)</f>
        <v>0</v>
      </c>
      <c r="J16" s="419">
        <f>SUM('26:25'!J16)</f>
        <v>0</v>
      </c>
      <c r="K16" s="419">
        <f>SUM('26:25'!K16)</f>
        <v>0</v>
      </c>
      <c r="L16" s="419">
        <f>SUM('26:25'!L16)</f>
        <v>0</v>
      </c>
      <c r="M16" s="419">
        <f>SUM('26:25'!M16)</f>
        <v>0</v>
      </c>
      <c r="N16" s="419">
        <f>SUM('26:25'!N16)</f>
        <v>0</v>
      </c>
      <c r="O16" s="419">
        <f>SUM('26:25'!O16)</f>
        <v>0</v>
      </c>
      <c r="P16" s="419">
        <f>SUM('26:25'!P16)</f>
        <v>0</v>
      </c>
      <c r="Q16" s="419">
        <f>SUM('26:25'!Q16)</f>
        <v>0</v>
      </c>
      <c r="R16" s="419">
        <f>SUM('26:25'!R16)</f>
        <v>0</v>
      </c>
      <c r="S16" s="419">
        <f>SUM('26:25'!S16)</f>
        <v>0</v>
      </c>
      <c r="T16" s="419">
        <f>SUM('26:25'!T16)</f>
        <v>0</v>
      </c>
      <c r="U16" s="593"/>
      <c r="V16" s="419">
        <f>SUM('26:25'!V16)</f>
        <v>0</v>
      </c>
      <c r="W16" s="419">
        <f>SUM('26:25'!W16)</f>
        <v>0</v>
      </c>
      <c r="X16" s="419">
        <f>SUM('26:25'!X16)</f>
        <v>0</v>
      </c>
      <c r="Y16" s="419">
        <f>SUM('26:25'!Y16)</f>
        <v>0</v>
      </c>
      <c r="Z16" s="419">
        <f>SUM('26:25'!Z16)</f>
        <v>0</v>
      </c>
      <c r="AA16" s="419">
        <f>SUM('26:25'!AA16)</f>
        <v>0</v>
      </c>
      <c r="AB16" s="419">
        <f>SUM('26:25'!AB16)</f>
        <v>0</v>
      </c>
      <c r="AC16" s="419">
        <f>SUM('26:25'!AC16)</f>
        <v>0</v>
      </c>
      <c r="AD16" s="419">
        <f>SUM('26:25'!AD16)</f>
        <v>0</v>
      </c>
      <c r="AE16" s="419">
        <f>SUM('26:25'!AE16)</f>
        <v>0</v>
      </c>
      <c r="AF16" s="419">
        <f>SUM('26:25'!AF16)</f>
        <v>0</v>
      </c>
      <c r="AG16" s="419">
        <f>SUM('26:25'!AG16)</f>
        <v>0</v>
      </c>
      <c r="AH16" s="419">
        <f>SUM('26:25'!AH16)</f>
        <v>0</v>
      </c>
      <c r="AI16" s="419">
        <f>SUM('26:25'!AI16)</f>
        <v>0</v>
      </c>
      <c r="AJ16" s="419">
        <f>SUM('26:25'!AJ16)</f>
        <v>0</v>
      </c>
      <c r="AK16" s="593"/>
      <c r="AL16" s="419">
        <f>SUM('26:25'!AL16)</f>
        <v>8100</v>
      </c>
      <c r="AM16" s="419">
        <f>SUM('26:25'!AM16)</f>
        <v>2160</v>
      </c>
      <c r="AN16" s="419">
        <f>SUM('26:25'!AN16)</f>
        <v>0</v>
      </c>
      <c r="AO16" s="419">
        <f>SUM('26:25'!AO16)</f>
        <v>6300</v>
      </c>
      <c r="AP16" s="597"/>
      <c r="AQ16" s="419">
        <f>SUM('26:25'!AQ16)</f>
        <v>0</v>
      </c>
      <c r="AR16" s="419">
        <f>SUM('26:25'!AR16)</f>
        <v>0</v>
      </c>
      <c r="AS16" s="419">
        <f>SUM('26:25'!AS16)</f>
        <v>0</v>
      </c>
      <c r="AT16" s="419">
        <f>SUM('26:25'!AT16)</f>
        <v>0</v>
      </c>
      <c r="AU16" s="419">
        <f>SUM('26:25'!AU16)</f>
        <v>0</v>
      </c>
      <c r="AV16" s="419">
        <f>SUM('26:25'!AV16)</f>
        <v>0</v>
      </c>
      <c r="AW16" s="419">
        <f>SUM('26:25'!AW16)</f>
        <v>0</v>
      </c>
      <c r="AX16" s="419">
        <f>SUM('26:25'!AX16)</f>
        <v>0</v>
      </c>
      <c r="AY16" s="419">
        <f>SUM('26:25'!AY16)</f>
        <v>0</v>
      </c>
      <c r="AZ16" s="419">
        <f>SUM('26:25'!AZ16)</f>
        <v>0</v>
      </c>
      <c r="BA16" s="419">
        <f>SUM('26:25'!BA16)</f>
        <v>0</v>
      </c>
      <c r="BB16" s="419">
        <f>SUM('26:25'!BB16)</f>
        <v>0</v>
      </c>
      <c r="BC16" s="419">
        <f>SUM('26:25'!BC16)</f>
        <v>0</v>
      </c>
      <c r="BD16" s="593"/>
      <c r="BE16" s="419">
        <f>SUM('26:25'!BE16)</f>
        <v>0</v>
      </c>
      <c r="BF16" s="419">
        <f>SUM('26:25'!BF16)</f>
        <v>0</v>
      </c>
      <c r="BG16" s="419">
        <f>SUM('26:25'!BG16)</f>
        <v>0</v>
      </c>
      <c r="BH16" s="419">
        <f>SUM('26:25'!BH16)</f>
        <v>0</v>
      </c>
      <c r="BI16" s="593"/>
      <c r="BJ16" s="419">
        <f>SUM('26:25'!BJ16)</f>
        <v>0</v>
      </c>
      <c r="BK16" s="419">
        <f>SUM('26:25'!BK16)</f>
        <v>0</v>
      </c>
      <c r="BL16" s="419">
        <f>SUM('26:25'!BL16)</f>
        <v>0</v>
      </c>
      <c r="BM16" s="419">
        <f>SUM('26:25'!BM16)</f>
        <v>0</v>
      </c>
      <c r="BN16" s="419">
        <f>SUM('26:25'!BN16)</f>
        <v>0</v>
      </c>
      <c r="BO16" s="419">
        <f>SUM('26:25'!BO16)</f>
        <v>0</v>
      </c>
      <c r="BP16" s="419">
        <f>SUM('26:25'!BP16)</f>
        <v>0</v>
      </c>
      <c r="BQ16" s="419">
        <f>SUM('26:25'!BQ16)</f>
        <v>0</v>
      </c>
      <c r="BR16" s="419">
        <f>SUM('26:25'!BR16)</f>
        <v>0</v>
      </c>
      <c r="BS16" s="419">
        <f>SUM('26:25'!BS16)</f>
        <v>0</v>
      </c>
      <c r="BT16" s="419">
        <f>SUM('26:25'!BT16)</f>
        <v>0</v>
      </c>
      <c r="BU16" s="419">
        <f>SUM('26:25'!BU16)</f>
        <v>0</v>
      </c>
      <c r="BV16" s="419">
        <f>SUM('26:25'!BV16)</f>
        <v>0</v>
      </c>
      <c r="BW16" s="419">
        <f>SUM('26:25'!BW16)</f>
        <v>0</v>
      </c>
      <c r="BX16" s="819">
        <f>SUM(E16:BW16)</f>
        <v>16560</v>
      </c>
      <c r="BY16">
        <v>106640</v>
      </c>
      <c r="BZ16">
        <v>12050</v>
      </c>
      <c r="CA16">
        <v>13830</v>
      </c>
    </row>
    <row r="17" spans="1:84" ht="19.5" customHeight="1">
      <c r="A17" s="418">
        <f>'BANG LUONG 1'!A19</f>
        <v>13</v>
      </c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>
        <f>SUM('26:25'!E17)</f>
        <v>0</v>
      </c>
      <c r="F17" s="419">
        <f>SUM('26:25'!F17)</f>
        <v>0</v>
      </c>
      <c r="G17" s="419">
        <f>SUM('26:25'!G17)</f>
        <v>0</v>
      </c>
      <c r="H17" s="419">
        <f>SUM('26:25'!H17)</f>
        <v>0</v>
      </c>
      <c r="I17" s="419">
        <f>SUM('26:25'!I17)</f>
        <v>0</v>
      </c>
      <c r="J17" s="419">
        <f>SUM('26:25'!J17)</f>
        <v>0</v>
      </c>
      <c r="K17" s="419">
        <f>SUM('26:25'!K17)</f>
        <v>0</v>
      </c>
      <c r="L17" s="419">
        <f>SUM('26:25'!L17)</f>
        <v>0</v>
      </c>
      <c r="M17" s="419">
        <f>SUM('26:25'!M17)</f>
        <v>0</v>
      </c>
      <c r="N17" s="419">
        <f>SUM('26:25'!N17)</f>
        <v>0</v>
      </c>
      <c r="O17" s="419">
        <f>SUM('26:25'!O17)</f>
        <v>0</v>
      </c>
      <c r="P17" s="419">
        <f>SUM('26:25'!P17)</f>
        <v>0</v>
      </c>
      <c r="Q17" s="419">
        <f>SUM('26:25'!Q17)</f>
        <v>0</v>
      </c>
      <c r="R17" s="419">
        <f>SUM('26:25'!R17)</f>
        <v>0</v>
      </c>
      <c r="S17" s="419">
        <f>SUM('26:25'!S17)</f>
        <v>0</v>
      </c>
      <c r="T17" s="419">
        <f>SUM('26:25'!T17)</f>
        <v>0</v>
      </c>
      <c r="U17" s="593"/>
      <c r="V17" s="419">
        <f>SUM('26:25'!V17)</f>
        <v>0</v>
      </c>
      <c r="W17" s="419">
        <f>SUM('26:25'!W17)</f>
        <v>0</v>
      </c>
      <c r="X17" s="419">
        <f>SUM('26:25'!X17)</f>
        <v>0</v>
      </c>
      <c r="Y17" s="419">
        <f>SUM('26:25'!Y17)</f>
        <v>0</v>
      </c>
      <c r="Z17" s="419">
        <f>SUM('26:25'!Z17)</f>
        <v>0</v>
      </c>
      <c r="AA17" s="419">
        <f>SUM('26:25'!AA17)</f>
        <v>0</v>
      </c>
      <c r="AB17" s="419">
        <f>SUM('26:25'!AB17)</f>
        <v>0</v>
      </c>
      <c r="AC17" s="419">
        <f>SUM('26:25'!AC17)</f>
        <v>0</v>
      </c>
      <c r="AD17" s="419">
        <f>SUM('26:25'!AD17)</f>
        <v>0</v>
      </c>
      <c r="AE17" s="419">
        <f>SUM('26:25'!AE17)</f>
        <v>0</v>
      </c>
      <c r="AF17" s="419">
        <f>SUM('26:25'!AF17)</f>
        <v>0</v>
      </c>
      <c r="AG17" s="419">
        <f>SUM('26:25'!AG17)</f>
        <v>0</v>
      </c>
      <c r="AH17" s="419">
        <f>SUM('26:25'!AH17)</f>
        <v>0</v>
      </c>
      <c r="AI17" s="419">
        <f>SUM('26:25'!AI17)</f>
        <v>0</v>
      </c>
      <c r="AJ17" s="419">
        <f>SUM('26:25'!AJ17)</f>
        <v>0</v>
      </c>
      <c r="AK17" s="593"/>
      <c r="AL17" s="419">
        <f>SUM('26:25'!AL17)</f>
        <v>0</v>
      </c>
      <c r="AM17" s="419">
        <f>SUM('26:25'!AM17)</f>
        <v>0</v>
      </c>
      <c r="AN17" s="419">
        <f>SUM('26:25'!AN17)</f>
        <v>0</v>
      </c>
      <c r="AO17" s="419">
        <f>SUM('26:25'!AO17)</f>
        <v>0</v>
      </c>
      <c r="AP17" s="597"/>
      <c r="AQ17" s="419">
        <f>SUM('26:25'!AQ17)</f>
        <v>0</v>
      </c>
      <c r="AR17" s="419">
        <f>SUM('26:25'!AR17)</f>
        <v>0</v>
      </c>
      <c r="AS17" s="419">
        <f>SUM('26:25'!AS17)</f>
        <v>0</v>
      </c>
      <c r="AT17" s="419">
        <f>SUM('26:25'!AT17)</f>
        <v>0</v>
      </c>
      <c r="AU17" s="419">
        <f>SUM('26:25'!AU17)</f>
        <v>0</v>
      </c>
      <c r="AV17" s="419">
        <f>SUM('26:25'!AV17)</f>
        <v>0</v>
      </c>
      <c r="AW17" s="419">
        <f>SUM('26:25'!AW17)</f>
        <v>0</v>
      </c>
      <c r="AX17" s="419">
        <f>SUM('26:25'!AX17)</f>
        <v>0</v>
      </c>
      <c r="AY17" s="419">
        <f>SUM('26:25'!AY17)</f>
        <v>0</v>
      </c>
      <c r="AZ17" s="419">
        <f>SUM('26:25'!AZ17)</f>
        <v>0</v>
      </c>
      <c r="BA17" s="419">
        <f>SUM('26:25'!BA17)</f>
        <v>0</v>
      </c>
      <c r="BB17" s="419">
        <f>SUM('26:25'!BB17)</f>
        <v>0</v>
      </c>
      <c r="BC17" s="419">
        <f>SUM('26:25'!BC17)</f>
        <v>0</v>
      </c>
      <c r="BD17" s="593"/>
      <c r="BE17" s="419">
        <f>SUM('26:25'!BE17)</f>
        <v>0</v>
      </c>
      <c r="BF17" s="419">
        <f>SUM('26:25'!BF17)</f>
        <v>0</v>
      </c>
      <c r="BG17" s="419">
        <f>SUM('26:25'!BG17)</f>
        <v>0</v>
      </c>
      <c r="BH17" s="419">
        <f>SUM('26:25'!BH17)</f>
        <v>0</v>
      </c>
      <c r="BI17" s="593"/>
      <c r="BJ17" s="419">
        <f>SUM('26:25'!BJ17)</f>
        <v>0</v>
      </c>
      <c r="BK17" s="419">
        <f>SUM('26:25'!BK17)</f>
        <v>0</v>
      </c>
      <c r="BL17" s="419">
        <f>SUM('26:25'!BL17)</f>
        <v>0</v>
      </c>
      <c r="BM17" s="419">
        <f>SUM('26:25'!BM17)</f>
        <v>0</v>
      </c>
      <c r="BN17" s="419">
        <f>SUM('26:25'!BN17)</f>
        <v>0</v>
      </c>
      <c r="BO17" s="419">
        <f>SUM('26:25'!BO17)</f>
        <v>0</v>
      </c>
      <c r="BP17" s="419">
        <f>SUM('26:25'!BP17)</f>
        <v>0</v>
      </c>
      <c r="BQ17" s="419">
        <f>SUM('26:25'!BQ17)</f>
        <v>0</v>
      </c>
      <c r="BR17" s="419">
        <f>SUM('26:25'!BR17)</f>
        <v>0</v>
      </c>
      <c r="BS17" s="419">
        <f>SUM('26:25'!BS17)</f>
        <v>0</v>
      </c>
      <c r="BT17" s="419">
        <f>SUM('26:25'!BT17)</f>
        <v>0</v>
      </c>
      <c r="BU17" s="419">
        <f>SUM('26:25'!BU17)</f>
        <v>0</v>
      </c>
      <c r="BV17" s="419">
        <f>SUM('26:25'!BV17)</f>
        <v>0</v>
      </c>
      <c r="BW17" s="419">
        <f>SUM('26:25'!BW17)</f>
        <v>0</v>
      </c>
      <c r="BX17" s="819">
        <f>SUM(E17:BW17)</f>
        <v>0</v>
      </c>
      <c r="BY17">
        <v>156650</v>
      </c>
      <c r="BZ17">
        <v>12730</v>
      </c>
      <c r="CD17" s="74"/>
      <c r="CE17" s="74"/>
      <c r="CF17" s="74"/>
    </row>
    <row r="18" spans="1:84" ht="19.5" customHeight="1">
      <c r="A18" s="418">
        <f>'BANG LUONG 1'!A20</f>
        <v>14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>
        <f>SUM('26:25'!E18)</f>
        <v>0</v>
      </c>
      <c r="F18" s="419">
        <f>SUM('26:25'!F18)</f>
        <v>0</v>
      </c>
      <c r="G18" s="419">
        <f>SUM('26:25'!G18)</f>
        <v>0</v>
      </c>
      <c r="H18" s="419">
        <f>SUM('26:25'!H18)</f>
        <v>0</v>
      </c>
      <c r="I18" s="419">
        <f>SUM('26:25'!I18)</f>
        <v>0</v>
      </c>
      <c r="J18" s="419">
        <f>SUM('26:25'!J18)</f>
        <v>0</v>
      </c>
      <c r="K18" s="419">
        <f>SUM('26:25'!K18)</f>
        <v>0</v>
      </c>
      <c r="L18" s="419">
        <f>SUM('26:25'!L18)</f>
        <v>0</v>
      </c>
      <c r="M18" s="419">
        <f>SUM('26:25'!M18)</f>
        <v>0</v>
      </c>
      <c r="N18" s="419">
        <f>SUM('26:25'!N18)</f>
        <v>0</v>
      </c>
      <c r="O18" s="419">
        <f>SUM('26:25'!O18)</f>
        <v>0</v>
      </c>
      <c r="P18" s="419">
        <f>SUM('26:25'!P18)</f>
        <v>0</v>
      </c>
      <c r="Q18" s="419">
        <f>SUM('26:25'!Q18)</f>
        <v>0</v>
      </c>
      <c r="R18" s="419">
        <f>SUM('26:25'!R18)</f>
        <v>0</v>
      </c>
      <c r="S18" s="419">
        <f>SUM('26:25'!S18)</f>
        <v>0</v>
      </c>
      <c r="T18" s="419">
        <f>SUM('26:25'!T18)</f>
        <v>0</v>
      </c>
      <c r="U18" s="593"/>
      <c r="V18" s="419">
        <f>SUM('26:25'!V18)</f>
        <v>0</v>
      </c>
      <c r="W18" s="419">
        <f>SUM('26:25'!W18)</f>
        <v>0</v>
      </c>
      <c r="X18" s="419">
        <f>SUM('26:25'!X18)</f>
        <v>0</v>
      </c>
      <c r="Y18" s="419">
        <f>SUM('26:25'!Y18)</f>
        <v>0</v>
      </c>
      <c r="Z18" s="419">
        <f>SUM('26:25'!Z18)</f>
        <v>0</v>
      </c>
      <c r="AA18" s="419">
        <f>SUM('26:25'!AA18)</f>
        <v>0</v>
      </c>
      <c r="AB18" s="419">
        <f>SUM('26:25'!AB18)</f>
        <v>0</v>
      </c>
      <c r="AC18" s="419">
        <f>SUM('26:25'!AC18)</f>
        <v>0</v>
      </c>
      <c r="AD18" s="419">
        <f>SUM('26:25'!AD18)</f>
        <v>0</v>
      </c>
      <c r="AE18" s="419">
        <f>SUM('26:25'!AE18)</f>
        <v>0</v>
      </c>
      <c r="AF18" s="419">
        <f>SUM('26:25'!AF18)</f>
        <v>0</v>
      </c>
      <c r="AG18" s="419">
        <f>SUM('26:25'!AG18)</f>
        <v>0</v>
      </c>
      <c r="AH18" s="419">
        <f>SUM('26:25'!AH18)</f>
        <v>0</v>
      </c>
      <c r="AI18" s="419">
        <f>SUM('26:25'!AI18)</f>
        <v>0</v>
      </c>
      <c r="AJ18" s="419">
        <f>SUM('26:25'!AJ18)</f>
        <v>0</v>
      </c>
      <c r="AK18" s="593"/>
      <c r="AL18" s="419">
        <f>SUM('26:25'!AL18)</f>
        <v>0</v>
      </c>
      <c r="AM18" s="419">
        <f>SUM('26:25'!AM18)</f>
        <v>0</v>
      </c>
      <c r="AN18" s="419">
        <f>SUM('26:25'!AN18)</f>
        <v>0</v>
      </c>
      <c r="AO18" s="419">
        <f>SUM('26:25'!AO18)</f>
        <v>0</v>
      </c>
      <c r="AP18" s="597"/>
      <c r="AQ18" s="419">
        <f>SUM('26:25'!AQ18)</f>
        <v>0</v>
      </c>
      <c r="AR18" s="419">
        <f>SUM('26:25'!AR18)</f>
        <v>0</v>
      </c>
      <c r="AS18" s="419">
        <f>SUM('26:25'!AS18)</f>
        <v>0</v>
      </c>
      <c r="AT18" s="419">
        <f>SUM('26:25'!AT18)</f>
        <v>0</v>
      </c>
      <c r="AU18" s="419">
        <f>SUM('26:25'!AU18)</f>
        <v>0</v>
      </c>
      <c r="AV18" s="419">
        <f>SUM('26:25'!AV18)</f>
        <v>0</v>
      </c>
      <c r="AW18" s="419">
        <f>SUM('26:25'!AW18)</f>
        <v>0</v>
      </c>
      <c r="AX18" s="419">
        <f>SUM('26:25'!AX18)</f>
        <v>0</v>
      </c>
      <c r="AY18" s="419">
        <f>SUM('26:25'!AY18)</f>
        <v>0</v>
      </c>
      <c r="AZ18" s="419">
        <f>SUM('26:25'!AZ18)</f>
        <v>0</v>
      </c>
      <c r="BA18" s="419">
        <f>SUM('26:25'!BA18)</f>
        <v>0</v>
      </c>
      <c r="BB18" s="419">
        <f>SUM('26:25'!BB18)</f>
        <v>0</v>
      </c>
      <c r="BC18" s="419">
        <f>SUM('26:25'!BC18)</f>
        <v>0</v>
      </c>
      <c r="BD18" s="593"/>
      <c r="BE18" s="419">
        <f>SUM('26:25'!BE18)</f>
        <v>0</v>
      </c>
      <c r="BF18" s="419">
        <f>SUM('26:25'!BF18)</f>
        <v>0</v>
      </c>
      <c r="BG18" s="419">
        <f>SUM('26:25'!BG18)</f>
        <v>0</v>
      </c>
      <c r="BH18" s="419">
        <f>SUM('26:25'!BH18)</f>
        <v>0</v>
      </c>
      <c r="BI18" s="593"/>
      <c r="BJ18" s="419">
        <f>SUM('26:25'!BJ18)</f>
        <v>0</v>
      </c>
      <c r="BK18" s="419">
        <f>SUM('26:25'!BK18)</f>
        <v>0</v>
      </c>
      <c r="BL18" s="419">
        <f>SUM('26:25'!BL18)</f>
        <v>0</v>
      </c>
      <c r="BM18" s="419">
        <f>SUM('26:25'!BM18)</f>
        <v>0</v>
      </c>
      <c r="BN18" s="419">
        <f>SUM('26:25'!BN18)</f>
        <v>0</v>
      </c>
      <c r="BO18" s="419">
        <f>SUM('26:25'!BO18)</f>
        <v>0</v>
      </c>
      <c r="BP18" s="419">
        <f>SUM('26:25'!BP18)</f>
        <v>0</v>
      </c>
      <c r="BQ18" s="419">
        <f>SUM('26:25'!BQ18)</f>
        <v>0</v>
      </c>
      <c r="BR18" s="419">
        <f>SUM('26:25'!BR18)</f>
        <v>0</v>
      </c>
      <c r="BS18" s="419">
        <f>SUM('26:25'!BS18)</f>
        <v>0</v>
      </c>
      <c r="BT18" s="419">
        <f>SUM('26:25'!BT18)</f>
        <v>0</v>
      </c>
      <c r="BU18" s="419">
        <f>SUM('26:25'!BU18)</f>
        <v>0</v>
      </c>
      <c r="BV18" s="419">
        <f>SUM('26:25'!BV18)</f>
        <v>0</v>
      </c>
      <c r="BW18" s="419">
        <f>SUM('26:25'!BW18)</f>
        <v>0</v>
      </c>
      <c r="BX18" s="819">
        <f t="shared" ref="BX18:BX47" si="1">SUM(E18:BW18)</f>
        <v>0</v>
      </c>
      <c r="BY18">
        <v>151440</v>
      </c>
      <c r="BZ18">
        <v>21970</v>
      </c>
      <c r="CD18" s="74"/>
      <c r="CE18" s="74"/>
      <c r="CF18" s="74"/>
    </row>
    <row r="19" spans="1:84" ht="19.5" customHeight="1">
      <c r="A19" s="418">
        <f>'BANG LUONG 1'!A21</f>
        <v>15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>
        <f>SUM('26:25'!E19)</f>
        <v>0</v>
      </c>
      <c r="F19" s="419">
        <f>SUM('26:25'!F19)</f>
        <v>0</v>
      </c>
      <c r="G19" s="419">
        <f>SUM('26:25'!G19)</f>
        <v>0</v>
      </c>
      <c r="H19" s="419">
        <f>SUM('26:25'!H19)</f>
        <v>0</v>
      </c>
      <c r="I19" s="419">
        <f>SUM('26:25'!I19)</f>
        <v>0</v>
      </c>
      <c r="J19" s="419">
        <f>SUM('26:25'!J19)</f>
        <v>0</v>
      </c>
      <c r="K19" s="419">
        <f>SUM('26:25'!K19)</f>
        <v>0</v>
      </c>
      <c r="L19" s="419">
        <f>SUM('26:25'!L19)</f>
        <v>0</v>
      </c>
      <c r="M19" s="419">
        <f>SUM('26:25'!M19)</f>
        <v>0</v>
      </c>
      <c r="N19" s="419">
        <f>SUM('26:25'!N19)</f>
        <v>0</v>
      </c>
      <c r="O19" s="419">
        <f>SUM('26:25'!O19)</f>
        <v>0</v>
      </c>
      <c r="P19" s="419">
        <f>SUM('26:25'!P19)</f>
        <v>0</v>
      </c>
      <c r="Q19" s="419">
        <f>SUM('26:25'!Q19)</f>
        <v>0</v>
      </c>
      <c r="R19" s="419">
        <f>SUM('26:25'!R19)</f>
        <v>0</v>
      </c>
      <c r="S19" s="419">
        <f>SUM('26:25'!S19)</f>
        <v>0</v>
      </c>
      <c r="T19" s="419">
        <f>SUM('26:25'!T19)</f>
        <v>0</v>
      </c>
      <c r="U19" s="593"/>
      <c r="V19" s="419">
        <f>SUM('26:25'!V19)</f>
        <v>0</v>
      </c>
      <c r="W19" s="419">
        <f>SUM('26:25'!W19)</f>
        <v>0</v>
      </c>
      <c r="X19" s="419">
        <f>SUM('26:25'!X19)</f>
        <v>0</v>
      </c>
      <c r="Y19" s="419">
        <f>SUM('26:25'!Y19)</f>
        <v>0</v>
      </c>
      <c r="Z19" s="419">
        <f>SUM('26:25'!Z19)</f>
        <v>0</v>
      </c>
      <c r="AA19" s="419">
        <f>SUM('26:25'!AA19)</f>
        <v>0</v>
      </c>
      <c r="AB19" s="419">
        <f>SUM('26:25'!AB19)</f>
        <v>0</v>
      </c>
      <c r="AC19" s="419">
        <f>SUM('26:25'!AC19)</f>
        <v>0</v>
      </c>
      <c r="AD19" s="419">
        <f>SUM('26:25'!AD19)</f>
        <v>0</v>
      </c>
      <c r="AE19" s="419">
        <f>SUM('26:25'!AE19)</f>
        <v>0</v>
      </c>
      <c r="AF19" s="419">
        <f>SUM('26:25'!AF19)</f>
        <v>0</v>
      </c>
      <c r="AG19" s="419">
        <f>SUM('26:25'!AG19)</f>
        <v>0</v>
      </c>
      <c r="AH19" s="419">
        <f>SUM('26:25'!AH19)</f>
        <v>0</v>
      </c>
      <c r="AI19" s="419">
        <f>SUM('26:25'!AI19)</f>
        <v>0</v>
      </c>
      <c r="AJ19" s="419">
        <f>SUM('26:25'!AJ19)</f>
        <v>0</v>
      </c>
      <c r="AK19" s="593"/>
      <c r="AL19" s="419">
        <f>SUM('26:25'!AL19)</f>
        <v>0</v>
      </c>
      <c r="AM19" s="419">
        <f>SUM('26:25'!AM19)</f>
        <v>0</v>
      </c>
      <c r="AN19" s="419">
        <f>SUM('26:25'!AN19)</f>
        <v>0</v>
      </c>
      <c r="AO19" s="419">
        <f>SUM('26:25'!AO19)</f>
        <v>0</v>
      </c>
      <c r="AP19" s="597"/>
      <c r="AQ19" s="419">
        <f>SUM('26:25'!AQ19)</f>
        <v>0</v>
      </c>
      <c r="AR19" s="419">
        <f>SUM('26:25'!AR19)</f>
        <v>0</v>
      </c>
      <c r="AS19" s="419">
        <f>SUM('26:25'!AS19)</f>
        <v>0</v>
      </c>
      <c r="AT19" s="419">
        <f>SUM('26:25'!AT19)</f>
        <v>0</v>
      </c>
      <c r="AU19" s="419">
        <f>SUM('26:25'!AU19)</f>
        <v>0</v>
      </c>
      <c r="AV19" s="419">
        <f>SUM('26:25'!AV19)</f>
        <v>0</v>
      </c>
      <c r="AW19" s="419">
        <f>SUM('26:25'!AW19)</f>
        <v>0</v>
      </c>
      <c r="AX19" s="419">
        <f>SUM('26:25'!AX19)</f>
        <v>0</v>
      </c>
      <c r="AY19" s="419">
        <f>SUM('26:25'!AY19)</f>
        <v>0</v>
      </c>
      <c r="AZ19" s="419">
        <f>SUM('26:25'!AZ19)</f>
        <v>0</v>
      </c>
      <c r="BA19" s="419">
        <f>SUM('26:25'!BA19)</f>
        <v>0</v>
      </c>
      <c r="BB19" s="419">
        <f>SUM('26:25'!BB19)</f>
        <v>0</v>
      </c>
      <c r="BC19" s="419">
        <f>SUM('26:25'!BC19)</f>
        <v>0</v>
      </c>
      <c r="BD19" s="593"/>
      <c r="BE19" s="419">
        <f>SUM('26:25'!BE19)</f>
        <v>0</v>
      </c>
      <c r="BF19" s="419">
        <f>SUM('26:25'!BF19)</f>
        <v>0</v>
      </c>
      <c r="BG19" s="419">
        <f>SUM('26:25'!BG19)</f>
        <v>0</v>
      </c>
      <c r="BH19" s="419">
        <f>SUM('26:25'!BH19)</f>
        <v>0</v>
      </c>
      <c r="BI19" s="593"/>
      <c r="BJ19" s="419">
        <f>SUM('26:25'!BJ19)</f>
        <v>0</v>
      </c>
      <c r="BK19" s="419">
        <f>SUM('26:25'!BK19)</f>
        <v>0</v>
      </c>
      <c r="BL19" s="419">
        <f>SUM('26:25'!BL19)</f>
        <v>0</v>
      </c>
      <c r="BM19" s="419">
        <f>SUM('26:25'!BM19)</f>
        <v>0</v>
      </c>
      <c r="BN19" s="419">
        <f>SUM('26:25'!BN19)</f>
        <v>0</v>
      </c>
      <c r="BO19" s="419">
        <f>SUM('26:25'!BO19)</f>
        <v>0</v>
      </c>
      <c r="BP19" s="419">
        <f>SUM('26:25'!BP19)</f>
        <v>0</v>
      </c>
      <c r="BQ19" s="419">
        <f>SUM('26:25'!BQ19)</f>
        <v>0</v>
      </c>
      <c r="BR19" s="419">
        <f>SUM('26:25'!BR19)</f>
        <v>0</v>
      </c>
      <c r="BS19" s="419">
        <f>SUM('26:25'!BS19)</f>
        <v>0</v>
      </c>
      <c r="BT19" s="419">
        <f>SUM('26:25'!BT19)</f>
        <v>0</v>
      </c>
      <c r="BU19" s="419">
        <f>SUM('26:25'!BU19)</f>
        <v>0</v>
      </c>
      <c r="BV19" s="419">
        <f>SUM('26:25'!BV19)</f>
        <v>0</v>
      </c>
      <c r="BW19" s="419">
        <f>SUM('26:25'!BW19)</f>
        <v>0</v>
      </c>
      <c r="BX19" s="819">
        <f t="shared" si="1"/>
        <v>0</v>
      </c>
      <c r="BY19">
        <v>121830</v>
      </c>
      <c r="BZ19">
        <v>20110</v>
      </c>
    </row>
    <row r="20" spans="1:84" ht="19.5" customHeight="1">
      <c r="A20" s="418">
        <f>'BANG LUONG 1'!A22</f>
        <v>16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>
        <f>SUM('26:25'!E20)</f>
        <v>0</v>
      </c>
      <c r="F20" s="419">
        <f>SUM('26:25'!F20)</f>
        <v>0</v>
      </c>
      <c r="G20" s="419">
        <f>SUM('26:25'!G20)</f>
        <v>0</v>
      </c>
      <c r="H20" s="419">
        <f>SUM('26:25'!H20)</f>
        <v>0</v>
      </c>
      <c r="I20" s="419">
        <f>SUM('26:25'!I20)</f>
        <v>0</v>
      </c>
      <c r="J20" s="419">
        <f>SUM('26:25'!J20)</f>
        <v>0</v>
      </c>
      <c r="K20" s="419">
        <f>SUM('26:25'!K20)</f>
        <v>0</v>
      </c>
      <c r="L20" s="419">
        <f>SUM('26:25'!L20)</f>
        <v>0</v>
      </c>
      <c r="M20" s="419">
        <f>SUM('26:25'!M20)</f>
        <v>0</v>
      </c>
      <c r="N20" s="419">
        <f>SUM('26:25'!N20)</f>
        <v>0</v>
      </c>
      <c r="O20" s="419">
        <f>SUM('26:25'!O20)</f>
        <v>0</v>
      </c>
      <c r="P20" s="419">
        <f>SUM('26:25'!P20)</f>
        <v>0</v>
      </c>
      <c r="Q20" s="419">
        <f>SUM('26:25'!Q20)</f>
        <v>0</v>
      </c>
      <c r="R20" s="419">
        <f>SUM('26:25'!R20)</f>
        <v>0</v>
      </c>
      <c r="S20" s="419">
        <f>SUM('26:25'!S20)</f>
        <v>0</v>
      </c>
      <c r="T20" s="419">
        <f>SUM('26:25'!T20)</f>
        <v>0</v>
      </c>
      <c r="U20" s="593"/>
      <c r="V20" s="419">
        <f>SUM('26:25'!V20)</f>
        <v>0</v>
      </c>
      <c r="W20" s="419">
        <f>SUM('26:25'!W20)</f>
        <v>0</v>
      </c>
      <c r="X20" s="419">
        <f>SUM('26:25'!X20)</f>
        <v>0</v>
      </c>
      <c r="Y20" s="419">
        <f>SUM('26:25'!Y20)</f>
        <v>0</v>
      </c>
      <c r="Z20" s="419">
        <f>SUM('26:25'!Z20)</f>
        <v>0</v>
      </c>
      <c r="AA20" s="419">
        <f>SUM('26:25'!AA20)</f>
        <v>0</v>
      </c>
      <c r="AB20" s="419">
        <f>SUM('26:25'!AB20)</f>
        <v>0</v>
      </c>
      <c r="AC20" s="419">
        <f>SUM('26:25'!AC20)</f>
        <v>0</v>
      </c>
      <c r="AD20" s="419">
        <f>SUM('26:25'!AD20)</f>
        <v>0</v>
      </c>
      <c r="AE20" s="419">
        <f>SUM('26:25'!AE20)</f>
        <v>0</v>
      </c>
      <c r="AF20" s="419">
        <f>SUM('26:25'!AF20)</f>
        <v>0</v>
      </c>
      <c r="AG20" s="419">
        <f>SUM('26:25'!AG20)</f>
        <v>0</v>
      </c>
      <c r="AH20" s="419">
        <f>SUM('26:25'!AH20)</f>
        <v>0</v>
      </c>
      <c r="AI20" s="419">
        <f>SUM('26:25'!AI20)</f>
        <v>0</v>
      </c>
      <c r="AJ20" s="419">
        <f>SUM('26:25'!AJ20)</f>
        <v>0</v>
      </c>
      <c r="AK20" s="593"/>
      <c r="AL20" s="419">
        <f>SUM('26:25'!AL20)</f>
        <v>0</v>
      </c>
      <c r="AM20" s="419">
        <f>SUM('26:25'!AM20)</f>
        <v>0</v>
      </c>
      <c r="AN20" s="419">
        <f>SUM('26:25'!AN20)</f>
        <v>0</v>
      </c>
      <c r="AO20" s="419">
        <f>SUM('26:25'!AO20)</f>
        <v>0</v>
      </c>
      <c r="AP20" s="597"/>
      <c r="AQ20" s="419">
        <f>SUM('26:25'!AQ20)</f>
        <v>0</v>
      </c>
      <c r="AR20" s="419">
        <f>SUM('26:25'!AR20)</f>
        <v>0</v>
      </c>
      <c r="AS20" s="419">
        <f>SUM('26:25'!AS20)</f>
        <v>0</v>
      </c>
      <c r="AT20" s="419">
        <f>SUM('26:25'!AT20)</f>
        <v>0</v>
      </c>
      <c r="AU20" s="419">
        <f>SUM('26:25'!AU20)</f>
        <v>0</v>
      </c>
      <c r="AV20" s="419">
        <f>SUM('26:25'!AV20)</f>
        <v>0</v>
      </c>
      <c r="AW20" s="419">
        <f>SUM('26:25'!AW20)</f>
        <v>0</v>
      </c>
      <c r="AX20" s="419">
        <f>SUM('26:25'!AX20)</f>
        <v>0</v>
      </c>
      <c r="AY20" s="419">
        <f>SUM('26:25'!AY20)</f>
        <v>0</v>
      </c>
      <c r="AZ20" s="419">
        <f>SUM('26:25'!AZ20)</f>
        <v>0</v>
      </c>
      <c r="BA20" s="419">
        <f>SUM('26:25'!BA20)</f>
        <v>0</v>
      </c>
      <c r="BB20" s="419">
        <f>SUM('26:25'!BB20)</f>
        <v>0</v>
      </c>
      <c r="BC20" s="419">
        <f>SUM('26:25'!BC20)</f>
        <v>0</v>
      </c>
      <c r="BD20" s="593"/>
      <c r="BE20" s="419">
        <f>SUM('26:25'!BE20)</f>
        <v>0</v>
      </c>
      <c r="BF20" s="419">
        <f>SUM('26:25'!BF20)</f>
        <v>0</v>
      </c>
      <c r="BG20" s="419">
        <f>SUM('26:25'!BG20)</f>
        <v>0</v>
      </c>
      <c r="BH20" s="419">
        <f>SUM('26:25'!BH20)</f>
        <v>0</v>
      </c>
      <c r="BI20" s="593"/>
      <c r="BJ20" s="419">
        <f>SUM('26:25'!BJ20)</f>
        <v>0</v>
      </c>
      <c r="BK20" s="419">
        <f>SUM('26:25'!BK20)</f>
        <v>0</v>
      </c>
      <c r="BL20" s="419">
        <f>SUM('26:25'!BL20)</f>
        <v>0</v>
      </c>
      <c r="BM20" s="419">
        <f>SUM('26:25'!BM20)</f>
        <v>0</v>
      </c>
      <c r="BN20" s="419">
        <f>SUM('26:25'!BN20)</f>
        <v>0</v>
      </c>
      <c r="BO20" s="419">
        <f>SUM('26:25'!BO20)</f>
        <v>0</v>
      </c>
      <c r="BP20" s="419">
        <f>SUM('26:25'!BP20)</f>
        <v>0</v>
      </c>
      <c r="BQ20" s="419">
        <f>SUM('26:25'!BQ20)</f>
        <v>0</v>
      </c>
      <c r="BR20" s="419">
        <f>SUM('26:25'!BR20)</f>
        <v>0</v>
      </c>
      <c r="BS20" s="419">
        <f>SUM('26:25'!BS20)</f>
        <v>0</v>
      </c>
      <c r="BT20" s="419">
        <f>SUM('26:25'!BT20)</f>
        <v>0</v>
      </c>
      <c r="BU20" s="419">
        <f>SUM('26:25'!BU20)</f>
        <v>0</v>
      </c>
      <c r="BV20" s="419">
        <f>SUM('26:25'!BV20)</f>
        <v>0</v>
      </c>
      <c r="BW20" s="419">
        <f>SUM('26:25'!BW20)</f>
        <v>0</v>
      </c>
      <c r="BX20" s="819">
        <f t="shared" si="1"/>
        <v>0</v>
      </c>
      <c r="BY20">
        <v>134720</v>
      </c>
      <c r="BZ20">
        <v>82720</v>
      </c>
      <c r="CE20" s="74"/>
    </row>
    <row r="21" spans="1:84" ht="19.5" customHeight="1">
      <c r="A21" s="418">
        <f>'BANG LUONG 1'!A23</f>
        <v>18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>
        <f>SUM('26:25'!E21)</f>
        <v>0</v>
      </c>
      <c r="F21" s="419">
        <f>SUM('26:25'!F21)</f>
        <v>0</v>
      </c>
      <c r="G21" s="419">
        <f>SUM('26:25'!G21)</f>
        <v>0</v>
      </c>
      <c r="H21" s="419">
        <f>SUM('26:25'!H21)</f>
        <v>0</v>
      </c>
      <c r="I21" s="419">
        <f>SUM('26:25'!I21)</f>
        <v>0</v>
      </c>
      <c r="J21" s="419">
        <f>SUM('26:25'!J21)</f>
        <v>0</v>
      </c>
      <c r="K21" s="419">
        <f>SUM('26:25'!K21)</f>
        <v>0</v>
      </c>
      <c r="L21" s="419">
        <f>SUM('26:25'!L21)</f>
        <v>0</v>
      </c>
      <c r="M21" s="419">
        <f>SUM('26:25'!M21)</f>
        <v>0</v>
      </c>
      <c r="N21" s="419">
        <f>SUM('26:25'!N21)</f>
        <v>0</v>
      </c>
      <c r="O21" s="419">
        <f>SUM('26:25'!O21)</f>
        <v>0</v>
      </c>
      <c r="P21" s="419">
        <f>SUM('26:25'!P21)</f>
        <v>0</v>
      </c>
      <c r="Q21" s="419">
        <f>SUM('26:25'!Q21)</f>
        <v>0</v>
      </c>
      <c r="R21" s="419">
        <f>SUM('26:25'!R21)</f>
        <v>0</v>
      </c>
      <c r="S21" s="419">
        <f>SUM('26:25'!S21)</f>
        <v>0</v>
      </c>
      <c r="T21" s="419">
        <f>SUM('26:25'!T21)</f>
        <v>0</v>
      </c>
      <c r="U21" s="593"/>
      <c r="V21" s="419">
        <f>SUM('26:25'!V21)</f>
        <v>0</v>
      </c>
      <c r="W21" s="419">
        <f>SUM('26:25'!W21)</f>
        <v>0</v>
      </c>
      <c r="X21" s="419">
        <f>SUM('26:25'!X21)</f>
        <v>0</v>
      </c>
      <c r="Y21" s="419">
        <f>SUM('26:25'!Y21)</f>
        <v>0</v>
      </c>
      <c r="Z21" s="419">
        <f>SUM('26:25'!Z21)</f>
        <v>0</v>
      </c>
      <c r="AA21" s="419">
        <f>SUM('26:25'!AA21)</f>
        <v>0</v>
      </c>
      <c r="AB21" s="419">
        <f>SUM('26:25'!AB21)</f>
        <v>0</v>
      </c>
      <c r="AC21" s="419">
        <f>SUM('26:25'!AC21)</f>
        <v>0</v>
      </c>
      <c r="AD21" s="419">
        <f>SUM('26:25'!AD21)</f>
        <v>0</v>
      </c>
      <c r="AE21" s="419">
        <f>SUM('26:25'!AE21)</f>
        <v>0</v>
      </c>
      <c r="AF21" s="419">
        <f>SUM('26:25'!AF21)</f>
        <v>0</v>
      </c>
      <c r="AG21" s="419">
        <f>SUM('26:25'!AG21)</f>
        <v>0</v>
      </c>
      <c r="AH21" s="419">
        <f>SUM('26:25'!AH21)</f>
        <v>0</v>
      </c>
      <c r="AI21" s="419">
        <f>SUM('26:25'!AI21)</f>
        <v>0</v>
      </c>
      <c r="AJ21" s="419">
        <f>SUM('26:25'!AJ21)</f>
        <v>0</v>
      </c>
      <c r="AK21" s="593"/>
      <c r="AL21" s="419">
        <f>SUM('26:25'!AL21)</f>
        <v>0</v>
      </c>
      <c r="AM21" s="419">
        <f>SUM('26:25'!AM21)</f>
        <v>0</v>
      </c>
      <c r="AN21" s="419">
        <f>SUM('26:25'!AN21)</f>
        <v>0</v>
      </c>
      <c r="AO21" s="419">
        <f>SUM('26:25'!AO21)</f>
        <v>0</v>
      </c>
      <c r="AP21" s="597"/>
      <c r="AQ21" s="419">
        <f>SUM('26:25'!AQ21)</f>
        <v>0</v>
      </c>
      <c r="AR21" s="419">
        <f>SUM('26:25'!AR21)</f>
        <v>0</v>
      </c>
      <c r="AS21" s="419">
        <f>SUM('26:25'!AS21)</f>
        <v>0</v>
      </c>
      <c r="AT21" s="419">
        <f>SUM('26:25'!AT21)</f>
        <v>0</v>
      </c>
      <c r="AU21" s="419">
        <f>SUM('26:25'!AU21)</f>
        <v>0</v>
      </c>
      <c r="AV21" s="419">
        <f>SUM('26:25'!AV21)</f>
        <v>0</v>
      </c>
      <c r="AW21" s="419">
        <f>SUM('26:25'!AW21)</f>
        <v>0</v>
      </c>
      <c r="AX21" s="419">
        <f>SUM('26:25'!AX21)</f>
        <v>0</v>
      </c>
      <c r="AY21" s="419">
        <f>SUM('26:25'!AY21)</f>
        <v>0</v>
      </c>
      <c r="AZ21" s="419">
        <f>SUM('26:25'!AZ21)</f>
        <v>0</v>
      </c>
      <c r="BA21" s="419">
        <f>SUM('26:25'!BA21)</f>
        <v>0</v>
      </c>
      <c r="BB21" s="419">
        <f>SUM('26:25'!BB21)</f>
        <v>0</v>
      </c>
      <c r="BC21" s="419">
        <f>SUM('26:25'!BC21)</f>
        <v>0</v>
      </c>
      <c r="BD21" s="593"/>
      <c r="BE21" s="419">
        <f>SUM('26:25'!BE21)</f>
        <v>0</v>
      </c>
      <c r="BF21" s="419">
        <f>SUM('26:25'!BF21)</f>
        <v>0</v>
      </c>
      <c r="BG21" s="419">
        <f>SUM('26:25'!BG21)</f>
        <v>0</v>
      </c>
      <c r="BH21" s="419">
        <f>SUM('26:25'!BH21)</f>
        <v>0</v>
      </c>
      <c r="BI21" s="593"/>
      <c r="BJ21" s="419">
        <f>SUM('26:25'!BJ21)</f>
        <v>0</v>
      </c>
      <c r="BK21" s="419">
        <f>SUM('26:25'!BK21)</f>
        <v>0</v>
      </c>
      <c r="BL21" s="419">
        <f>SUM('26:25'!BL21)</f>
        <v>0</v>
      </c>
      <c r="BM21" s="419">
        <f>SUM('26:25'!BM21)</f>
        <v>0</v>
      </c>
      <c r="BN21" s="419">
        <f>SUM('26:25'!BN21)</f>
        <v>0</v>
      </c>
      <c r="BO21" s="419">
        <f>SUM('26:25'!BO21)</f>
        <v>0</v>
      </c>
      <c r="BP21" s="419">
        <f>SUM('26:25'!BP21)</f>
        <v>0</v>
      </c>
      <c r="BQ21" s="419">
        <f>SUM('26:25'!BQ21)</f>
        <v>0</v>
      </c>
      <c r="BR21" s="419">
        <f>SUM('26:25'!BR21)</f>
        <v>0</v>
      </c>
      <c r="BS21" s="419">
        <f>SUM('26:25'!BS21)</f>
        <v>0</v>
      </c>
      <c r="BT21" s="419">
        <f>SUM('26:25'!BT21)</f>
        <v>0</v>
      </c>
      <c r="BU21" s="419">
        <f>SUM('26:25'!BU21)</f>
        <v>0</v>
      </c>
      <c r="BV21" s="419">
        <f>SUM('26:25'!BV21)</f>
        <v>0</v>
      </c>
      <c r="BW21" s="419">
        <f>SUM('26:25'!BW21)</f>
        <v>0</v>
      </c>
      <c r="BX21" s="819">
        <f t="shared" si="1"/>
        <v>0</v>
      </c>
      <c r="BY21">
        <v>195600</v>
      </c>
      <c r="BZ21">
        <v>75030</v>
      </c>
      <c r="CA21">
        <v>36850</v>
      </c>
    </row>
    <row r="22" spans="1:84" ht="19.5" customHeight="1">
      <c r="A22" s="418">
        <f>'BANG LUONG 1'!A24</f>
        <v>19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>
        <f>SUM('26:25'!E22)</f>
        <v>0</v>
      </c>
      <c r="F22" s="419">
        <f>SUM('26:25'!F22)</f>
        <v>0</v>
      </c>
      <c r="G22" s="419">
        <f>SUM('26:25'!G22)</f>
        <v>0</v>
      </c>
      <c r="H22" s="419">
        <f>SUM('26:25'!H22)</f>
        <v>0</v>
      </c>
      <c r="I22" s="419">
        <f>SUM('26:25'!I22)</f>
        <v>0</v>
      </c>
      <c r="J22" s="419">
        <f>SUM('26:25'!J22)</f>
        <v>0</v>
      </c>
      <c r="K22" s="419">
        <f>SUM('26:25'!K22)</f>
        <v>0</v>
      </c>
      <c r="L22" s="419">
        <f>SUM('26:25'!L22)</f>
        <v>0</v>
      </c>
      <c r="M22" s="419">
        <f>SUM('26:25'!M22)</f>
        <v>0</v>
      </c>
      <c r="N22" s="419">
        <f>SUM('26:25'!N22)</f>
        <v>0</v>
      </c>
      <c r="O22" s="419">
        <f>SUM('26:25'!O22)</f>
        <v>0</v>
      </c>
      <c r="P22" s="419">
        <f>SUM('26:25'!P22)</f>
        <v>0</v>
      </c>
      <c r="Q22" s="419">
        <f>SUM('26:25'!Q22)</f>
        <v>0</v>
      </c>
      <c r="R22" s="419">
        <f>SUM('26:25'!R22)</f>
        <v>0</v>
      </c>
      <c r="S22" s="419">
        <f>SUM('26:25'!S22)</f>
        <v>0</v>
      </c>
      <c r="T22" s="419">
        <f>SUM('26:25'!T22)</f>
        <v>0</v>
      </c>
      <c r="U22" s="593"/>
      <c r="V22" s="419">
        <f>SUM('26:25'!V22)</f>
        <v>0</v>
      </c>
      <c r="W22" s="419">
        <f>SUM('26:25'!W22)</f>
        <v>0</v>
      </c>
      <c r="X22" s="419">
        <f>SUM('26:25'!X22)</f>
        <v>0</v>
      </c>
      <c r="Y22" s="419">
        <f>SUM('26:25'!Y22)</f>
        <v>0</v>
      </c>
      <c r="Z22" s="419">
        <f>SUM('26:25'!Z22)</f>
        <v>0</v>
      </c>
      <c r="AA22" s="419">
        <f>SUM('26:25'!AA22)</f>
        <v>0</v>
      </c>
      <c r="AB22" s="419">
        <f>SUM('26:25'!AB22)</f>
        <v>0</v>
      </c>
      <c r="AC22" s="419">
        <f>SUM('26:25'!AC22)</f>
        <v>0</v>
      </c>
      <c r="AD22" s="419">
        <f>SUM('26:25'!AD22)</f>
        <v>0</v>
      </c>
      <c r="AE22" s="419">
        <f>SUM('26:25'!AE22)</f>
        <v>0</v>
      </c>
      <c r="AF22" s="419">
        <f>SUM('26:25'!AF22)</f>
        <v>0</v>
      </c>
      <c r="AG22" s="419">
        <f>SUM('26:25'!AG22)</f>
        <v>0</v>
      </c>
      <c r="AH22" s="419">
        <f>SUM('26:25'!AH22)</f>
        <v>0</v>
      </c>
      <c r="AI22" s="419">
        <f>SUM('26:25'!AI22)</f>
        <v>0</v>
      </c>
      <c r="AJ22" s="419">
        <f>SUM('26:25'!AJ22)</f>
        <v>0</v>
      </c>
      <c r="AK22" s="593"/>
      <c r="AL22" s="419">
        <f>SUM('26:25'!AL22)</f>
        <v>0</v>
      </c>
      <c r="AM22" s="419">
        <f>SUM('26:25'!AM22)</f>
        <v>0</v>
      </c>
      <c r="AN22" s="419">
        <f>SUM('26:25'!AN22)</f>
        <v>0</v>
      </c>
      <c r="AO22" s="419">
        <f>SUM('26:25'!AO22)</f>
        <v>0</v>
      </c>
      <c r="AP22" s="597"/>
      <c r="AQ22" s="419">
        <f>SUM('26:25'!AQ22)</f>
        <v>0</v>
      </c>
      <c r="AR22" s="419">
        <f>SUM('26:25'!AR22)</f>
        <v>0</v>
      </c>
      <c r="AS22" s="419">
        <f>SUM('26:25'!AS22)</f>
        <v>0</v>
      </c>
      <c r="AT22" s="419">
        <f>SUM('26:25'!AT22)</f>
        <v>0</v>
      </c>
      <c r="AU22" s="419">
        <f>SUM('26:25'!AU22)</f>
        <v>0</v>
      </c>
      <c r="AV22" s="419">
        <f>SUM('26:25'!AV22)</f>
        <v>0</v>
      </c>
      <c r="AW22" s="419">
        <f>SUM('26:25'!AW22)</f>
        <v>0</v>
      </c>
      <c r="AX22" s="419">
        <f>SUM('26:25'!AX22)</f>
        <v>0</v>
      </c>
      <c r="AY22" s="419">
        <f>SUM('26:25'!AY22)</f>
        <v>0</v>
      </c>
      <c r="AZ22" s="419">
        <f>SUM('26:25'!AZ22)</f>
        <v>0</v>
      </c>
      <c r="BA22" s="419">
        <f>SUM('26:25'!BA22)</f>
        <v>0</v>
      </c>
      <c r="BB22" s="419">
        <f>SUM('26:25'!BB22)</f>
        <v>0</v>
      </c>
      <c r="BC22" s="419">
        <f>SUM('26:25'!BC22)</f>
        <v>0</v>
      </c>
      <c r="BD22" s="593"/>
      <c r="BE22" s="419">
        <f>SUM('26:25'!BE22)</f>
        <v>0</v>
      </c>
      <c r="BF22" s="419">
        <f>SUM('26:25'!BF22)</f>
        <v>0</v>
      </c>
      <c r="BG22" s="419">
        <f>SUM('26:25'!BG22)</f>
        <v>0</v>
      </c>
      <c r="BH22" s="419">
        <f>SUM('26:25'!BH22)</f>
        <v>0</v>
      </c>
      <c r="BI22" s="593"/>
      <c r="BJ22" s="419">
        <f>SUM('26:25'!BJ22)</f>
        <v>0</v>
      </c>
      <c r="BK22" s="419">
        <f>SUM('26:25'!BK22)</f>
        <v>0</v>
      </c>
      <c r="BL22" s="419">
        <f>SUM('26:25'!BL22)</f>
        <v>0</v>
      </c>
      <c r="BM22" s="419">
        <f>SUM('26:25'!BM22)</f>
        <v>0</v>
      </c>
      <c r="BN22" s="419">
        <f>SUM('26:25'!BN22)</f>
        <v>0</v>
      </c>
      <c r="BO22" s="419">
        <f>SUM('26:25'!BO22)</f>
        <v>0</v>
      </c>
      <c r="BP22" s="419">
        <f>SUM('26:25'!BP22)</f>
        <v>0</v>
      </c>
      <c r="BQ22" s="419">
        <f>SUM('26:25'!BQ22)</f>
        <v>0</v>
      </c>
      <c r="BR22" s="419">
        <f>SUM('26:25'!BR22)</f>
        <v>0</v>
      </c>
      <c r="BS22" s="419">
        <f>SUM('26:25'!BS22)</f>
        <v>0</v>
      </c>
      <c r="BT22" s="419">
        <f>SUM('26:25'!BT22)</f>
        <v>0</v>
      </c>
      <c r="BU22" s="419">
        <f>SUM('26:25'!BU22)</f>
        <v>0</v>
      </c>
      <c r="BV22" s="419">
        <f>SUM('26:25'!BV22)</f>
        <v>0</v>
      </c>
      <c r="BW22" s="419">
        <f>SUM('26:25'!BW22)</f>
        <v>0</v>
      </c>
      <c r="BX22" s="819">
        <f t="shared" si="1"/>
        <v>0</v>
      </c>
      <c r="BY22">
        <v>80730</v>
      </c>
      <c r="BZ22">
        <v>33670</v>
      </c>
      <c r="CA22">
        <v>41580</v>
      </c>
    </row>
    <row r="23" spans="1:84" ht="19.5" customHeight="1">
      <c r="A23" s="418">
        <f>'BANG LUONG 1'!A25</f>
        <v>20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>
        <f>SUM('26:25'!E23)</f>
        <v>0</v>
      </c>
      <c r="F23" s="419">
        <f>SUM('26:25'!F23)</f>
        <v>0</v>
      </c>
      <c r="G23" s="419">
        <f>SUM('26:25'!G23)</f>
        <v>0</v>
      </c>
      <c r="H23" s="419">
        <f>SUM('26:25'!H23)</f>
        <v>0</v>
      </c>
      <c r="I23" s="419">
        <f>SUM('26:25'!I23)</f>
        <v>0</v>
      </c>
      <c r="J23" s="419">
        <f>SUM('26:25'!J23)</f>
        <v>0</v>
      </c>
      <c r="K23" s="419">
        <f>SUM('26:25'!K23)</f>
        <v>0</v>
      </c>
      <c r="L23" s="419">
        <f>SUM('26:25'!L23)</f>
        <v>0</v>
      </c>
      <c r="M23" s="419">
        <f>SUM('26:25'!M23)</f>
        <v>0</v>
      </c>
      <c r="N23" s="419">
        <f>SUM('26:25'!N23)</f>
        <v>0</v>
      </c>
      <c r="O23" s="419">
        <f>SUM('26:25'!O23)</f>
        <v>0</v>
      </c>
      <c r="P23" s="419">
        <f>SUM('26:25'!P23)</f>
        <v>0</v>
      </c>
      <c r="Q23" s="419">
        <f>SUM('26:25'!Q23)</f>
        <v>0</v>
      </c>
      <c r="R23" s="419">
        <f>SUM('26:25'!R23)</f>
        <v>0</v>
      </c>
      <c r="S23" s="419">
        <f>SUM('26:25'!S23)</f>
        <v>0</v>
      </c>
      <c r="T23" s="419">
        <f>SUM('26:25'!T23)</f>
        <v>0</v>
      </c>
      <c r="U23" s="593"/>
      <c r="V23" s="419">
        <f>SUM('26:25'!V23)</f>
        <v>0</v>
      </c>
      <c r="W23" s="419">
        <f>SUM('26:25'!W23)</f>
        <v>0</v>
      </c>
      <c r="X23" s="419">
        <f>SUM('26:25'!X23)</f>
        <v>0</v>
      </c>
      <c r="Y23" s="419">
        <f>SUM('26:25'!Y23)</f>
        <v>0</v>
      </c>
      <c r="Z23" s="419">
        <f>SUM('26:25'!Z23)</f>
        <v>0</v>
      </c>
      <c r="AA23" s="419">
        <f>SUM('26:25'!AA23)</f>
        <v>0</v>
      </c>
      <c r="AB23" s="419">
        <f>SUM('26:25'!AB23)</f>
        <v>0</v>
      </c>
      <c r="AC23" s="419">
        <f>SUM('26:25'!AC23)</f>
        <v>0</v>
      </c>
      <c r="AD23" s="419">
        <f>SUM('26:25'!AD23)</f>
        <v>0</v>
      </c>
      <c r="AE23" s="419">
        <f>SUM('26:25'!AE23)</f>
        <v>0</v>
      </c>
      <c r="AF23" s="419">
        <f>SUM('26:25'!AF23)</f>
        <v>0</v>
      </c>
      <c r="AG23" s="419">
        <f>SUM('26:25'!AG23)</f>
        <v>0</v>
      </c>
      <c r="AH23" s="419">
        <f>SUM('26:25'!AH23)</f>
        <v>0</v>
      </c>
      <c r="AI23" s="419">
        <f>SUM('26:25'!AI23)</f>
        <v>0</v>
      </c>
      <c r="AJ23" s="419">
        <f>SUM('26:25'!AJ23)</f>
        <v>0</v>
      </c>
      <c r="AK23" s="593"/>
      <c r="AL23" s="419">
        <f>SUM('26:25'!AL23)</f>
        <v>0</v>
      </c>
      <c r="AM23" s="419">
        <f>SUM('26:25'!AM23)</f>
        <v>0</v>
      </c>
      <c r="AN23" s="419">
        <f>SUM('26:25'!AN23)</f>
        <v>0</v>
      </c>
      <c r="AO23" s="419">
        <f>SUM('26:25'!AO23)</f>
        <v>0</v>
      </c>
      <c r="AP23" s="597"/>
      <c r="AQ23" s="419">
        <f>SUM('26:25'!AQ23)</f>
        <v>0</v>
      </c>
      <c r="AR23" s="419">
        <f>SUM('26:25'!AR23)</f>
        <v>0</v>
      </c>
      <c r="AS23" s="419">
        <f>SUM('26:25'!AS23)</f>
        <v>0</v>
      </c>
      <c r="AT23" s="419">
        <f>SUM('26:25'!AT23)</f>
        <v>0</v>
      </c>
      <c r="AU23" s="419">
        <f>SUM('26:25'!AU23)</f>
        <v>0</v>
      </c>
      <c r="AV23" s="419">
        <f>SUM('26:25'!AV23)</f>
        <v>0</v>
      </c>
      <c r="AW23" s="419">
        <f>SUM('26:25'!AW23)</f>
        <v>0</v>
      </c>
      <c r="AX23" s="419">
        <f>SUM('26:25'!AX23)</f>
        <v>0</v>
      </c>
      <c r="AY23" s="419">
        <f>SUM('26:25'!AY23)</f>
        <v>0</v>
      </c>
      <c r="AZ23" s="419">
        <f>SUM('26:25'!AZ23)</f>
        <v>0</v>
      </c>
      <c r="BA23" s="419">
        <f>SUM('26:25'!BA23)</f>
        <v>0</v>
      </c>
      <c r="BB23" s="419">
        <f>SUM('26:25'!BB23)</f>
        <v>0</v>
      </c>
      <c r="BC23" s="419">
        <f>SUM('26:25'!BC23)</f>
        <v>0</v>
      </c>
      <c r="BD23" s="593"/>
      <c r="BE23" s="419">
        <f>SUM('26:25'!BE23)</f>
        <v>0</v>
      </c>
      <c r="BF23" s="419">
        <f>SUM('26:25'!BF23)</f>
        <v>0</v>
      </c>
      <c r="BG23" s="419">
        <f>SUM('26:25'!BG23)</f>
        <v>0</v>
      </c>
      <c r="BH23" s="419">
        <f>SUM('26:25'!BH23)</f>
        <v>0</v>
      </c>
      <c r="BI23" s="593"/>
      <c r="BJ23" s="419">
        <f>SUM('26:25'!BJ23)</f>
        <v>0</v>
      </c>
      <c r="BK23" s="419">
        <f>SUM('26:25'!BK23)</f>
        <v>0</v>
      </c>
      <c r="BL23" s="419">
        <f>SUM('26:25'!BL23)</f>
        <v>0</v>
      </c>
      <c r="BM23" s="419">
        <f>SUM('26:25'!BM23)</f>
        <v>0</v>
      </c>
      <c r="BN23" s="419">
        <f>SUM('26:25'!BN23)</f>
        <v>0</v>
      </c>
      <c r="BO23" s="419">
        <f>SUM('26:25'!BO23)</f>
        <v>0</v>
      </c>
      <c r="BP23" s="419">
        <f>SUM('26:25'!BP23)</f>
        <v>0</v>
      </c>
      <c r="BQ23" s="419">
        <f>SUM('26:25'!BQ23)</f>
        <v>0</v>
      </c>
      <c r="BR23" s="419">
        <f>SUM('26:25'!BR23)</f>
        <v>0</v>
      </c>
      <c r="BS23" s="419">
        <f>SUM('26:25'!BS23)</f>
        <v>0</v>
      </c>
      <c r="BT23" s="419">
        <f>SUM('26:25'!BT23)</f>
        <v>0</v>
      </c>
      <c r="BU23" s="419">
        <f>SUM('26:25'!BU23)</f>
        <v>0</v>
      </c>
      <c r="BV23" s="419">
        <f>SUM('26:25'!BV23)</f>
        <v>0</v>
      </c>
      <c r="BW23" s="419">
        <f>SUM('26:25'!BW23)</f>
        <v>0</v>
      </c>
      <c r="BX23" s="819">
        <f>SUM(E23:BW23)</f>
        <v>0</v>
      </c>
      <c r="BY23">
        <v>197750</v>
      </c>
      <c r="BZ23">
        <v>34790</v>
      </c>
      <c r="CA23">
        <v>57380</v>
      </c>
    </row>
    <row r="24" spans="1:84" ht="19.5" customHeight="1">
      <c r="A24" s="418">
        <f>'BANG LUONG 1'!A26</f>
        <v>21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>
        <f>SUM('26:25'!E24)</f>
        <v>0</v>
      </c>
      <c r="F24" s="419">
        <f>SUM('26:25'!F24)</f>
        <v>0</v>
      </c>
      <c r="G24" s="419">
        <f>SUM('26:25'!G24)</f>
        <v>0</v>
      </c>
      <c r="H24" s="419">
        <f>SUM('26:25'!H24)</f>
        <v>0</v>
      </c>
      <c r="I24" s="419">
        <f>SUM('26:25'!I24)</f>
        <v>0</v>
      </c>
      <c r="J24" s="419">
        <f>SUM('26:25'!J24)</f>
        <v>0</v>
      </c>
      <c r="K24" s="419">
        <f>SUM('26:25'!K24)</f>
        <v>0</v>
      </c>
      <c r="L24" s="419">
        <f>SUM('26:25'!L24)</f>
        <v>0</v>
      </c>
      <c r="M24" s="419">
        <f>SUM('26:25'!M24)</f>
        <v>0</v>
      </c>
      <c r="N24" s="419">
        <f>SUM('26:25'!N24)</f>
        <v>0</v>
      </c>
      <c r="O24" s="419">
        <f>SUM('26:25'!O24)</f>
        <v>0</v>
      </c>
      <c r="P24" s="419">
        <f>SUM('26:25'!P24)</f>
        <v>0</v>
      </c>
      <c r="Q24" s="419">
        <f>SUM('26:25'!Q24)</f>
        <v>0</v>
      </c>
      <c r="R24" s="419">
        <f>SUM('26:25'!R24)</f>
        <v>0</v>
      </c>
      <c r="S24" s="419">
        <f>SUM('26:25'!S24)</f>
        <v>0</v>
      </c>
      <c r="T24" s="419">
        <f>SUM('26:25'!T24)</f>
        <v>0</v>
      </c>
      <c r="U24" s="593"/>
      <c r="V24" s="419">
        <f>SUM('26:25'!V24)</f>
        <v>0</v>
      </c>
      <c r="W24" s="419">
        <f>SUM('26:25'!W24)</f>
        <v>0</v>
      </c>
      <c r="X24" s="419">
        <f>SUM('26:25'!X24)</f>
        <v>0</v>
      </c>
      <c r="Y24" s="419">
        <f>SUM('26:25'!Y24)</f>
        <v>0</v>
      </c>
      <c r="Z24" s="419">
        <f>SUM('26:25'!Z24)</f>
        <v>0</v>
      </c>
      <c r="AA24" s="419">
        <f>SUM('26:25'!AA24)</f>
        <v>0</v>
      </c>
      <c r="AB24" s="419">
        <f>SUM('26:25'!AB24)</f>
        <v>0</v>
      </c>
      <c r="AC24" s="419">
        <f>SUM('26:25'!AC24)</f>
        <v>0</v>
      </c>
      <c r="AD24" s="419">
        <f>SUM('26:25'!AD24)</f>
        <v>0</v>
      </c>
      <c r="AE24" s="419">
        <f>SUM('26:25'!AE24)</f>
        <v>0</v>
      </c>
      <c r="AF24" s="419">
        <f>SUM('26:25'!AF24)</f>
        <v>0</v>
      </c>
      <c r="AG24" s="419">
        <f>SUM('26:25'!AG24)</f>
        <v>0</v>
      </c>
      <c r="AH24" s="419">
        <f>SUM('26:25'!AH24)</f>
        <v>0</v>
      </c>
      <c r="AI24" s="419">
        <f>SUM('26:25'!AI24)</f>
        <v>0</v>
      </c>
      <c r="AJ24" s="419">
        <f>SUM('26:25'!AJ24)</f>
        <v>0</v>
      </c>
      <c r="AK24" s="593"/>
      <c r="AL24" s="419">
        <f>SUM('26:25'!AL24)</f>
        <v>0</v>
      </c>
      <c r="AM24" s="419">
        <f>SUM('26:25'!AM24)</f>
        <v>0</v>
      </c>
      <c r="AN24" s="419">
        <f>SUM('26:25'!AN24)</f>
        <v>0</v>
      </c>
      <c r="AO24" s="419">
        <f>SUM('26:25'!AO24)</f>
        <v>0</v>
      </c>
      <c r="AP24" s="597"/>
      <c r="AQ24" s="419">
        <f>SUM('26:25'!AQ24)</f>
        <v>0</v>
      </c>
      <c r="AR24" s="419">
        <f>SUM('26:25'!AR24)</f>
        <v>0</v>
      </c>
      <c r="AS24" s="419">
        <f>SUM('26:25'!AS24)</f>
        <v>0</v>
      </c>
      <c r="AT24" s="419">
        <f>SUM('26:25'!AT24)</f>
        <v>0</v>
      </c>
      <c r="AU24" s="419">
        <f>SUM('26:25'!AU24)</f>
        <v>0</v>
      </c>
      <c r="AV24" s="419">
        <f>SUM('26:25'!AV24)</f>
        <v>0</v>
      </c>
      <c r="AW24" s="419">
        <f>SUM('26:25'!AW24)</f>
        <v>0</v>
      </c>
      <c r="AX24" s="419">
        <f>SUM('26:25'!AX24)</f>
        <v>0</v>
      </c>
      <c r="AY24" s="419">
        <f>SUM('26:25'!AY24)</f>
        <v>0</v>
      </c>
      <c r="AZ24" s="419">
        <f>SUM('26:25'!AZ24)</f>
        <v>0</v>
      </c>
      <c r="BA24" s="419">
        <f>SUM('26:25'!BA24)</f>
        <v>0</v>
      </c>
      <c r="BB24" s="419">
        <f>SUM('26:25'!BB24)</f>
        <v>0</v>
      </c>
      <c r="BC24" s="419">
        <f>SUM('26:25'!BC24)</f>
        <v>0</v>
      </c>
      <c r="BD24" s="593"/>
      <c r="BE24" s="419">
        <f>SUM('26:25'!BE24)</f>
        <v>0</v>
      </c>
      <c r="BF24" s="419">
        <f>SUM('26:25'!BF24)</f>
        <v>0</v>
      </c>
      <c r="BG24" s="419">
        <f>SUM('26:25'!BG24)</f>
        <v>0</v>
      </c>
      <c r="BH24" s="419">
        <f>SUM('26:25'!BH24)</f>
        <v>0</v>
      </c>
      <c r="BI24" s="593"/>
      <c r="BJ24" s="419">
        <f>SUM('26:25'!BJ24)</f>
        <v>0</v>
      </c>
      <c r="BK24" s="419">
        <f>SUM('26:25'!BK24)</f>
        <v>0</v>
      </c>
      <c r="BL24" s="419">
        <f>SUM('26:25'!BL24)</f>
        <v>0</v>
      </c>
      <c r="BM24" s="419">
        <f>SUM('26:25'!BM24)</f>
        <v>0</v>
      </c>
      <c r="BN24" s="419">
        <f>SUM('26:25'!BN24)</f>
        <v>0</v>
      </c>
      <c r="BO24" s="419">
        <f>SUM('26:25'!BO24)</f>
        <v>0</v>
      </c>
      <c r="BP24" s="419">
        <f>SUM('26:25'!BP24)</f>
        <v>0</v>
      </c>
      <c r="BQ24" s="419">
        <f>SUM('26:25'!BQ24)</f>
        <v>0</v>
      </c>
      <c r="BR24" s="419">
        <f>SUM('26:25'!BR24)</f>
        <v>0</v>
      </c>
      <c r="BS24" s="419">
        <f>SUM('26:25'!BS24)</f>
        <v>0</v>
      </c>
      <c r="BT24" s="419">
        <f>SUM('26:25'!BT24)</f>
        <v>0</v>
      </c>
      <c r="BU24" s="419">
        <f>SUM('26:25'!BU24)</f>
        <v>0</v>
      </c>
      <c r="BV24" s="419">
        <f>SUM('26:25'!BV24)</f>
        <v>0</v>
      </c>
      <c r="BW24" s="419">
        <f>SUM('26:25'!BW24)</f>
        <v>0</v>
      </c>
      <c r="BX24" s="819">
        <f t="shared" si="1"/>
        <v>0</v>
      </c>
      <c r="BY24">
        <v>129350</v>
      </c>
      <c r="BZ24">
        <v>4720</v>
      </c>
    </row>
    <row r="25" spans="1:84" ht="19.5" customHeight="1">
      <c r="A25" s="418">
        <f>'BANG LUONG 1'!A27</f>
        <v>22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>
        <f>SUM('26:25'!E25)</f>
        <v>0</v>
      </c>
      <c r="F25" s="419">
        <f>SUM('26:25'!F25)</f>
        <v>0</v>
      </c>
      <c r="G25" s="419">
        <f>SUM('26:25'!G25)</f>
        <v>0</v>
      </c>
      <c r="H25" s="419">
        <f>SUM('26:25'!H25)</f>
        <v>0</v>
      </c>
      <c r="I25" s="419">
        <f>SUM('26:25'!I25)</f>
        <v>0</v>
      </c>
      <c r="J25" s="419">
        <f>SUM('26:25'!J25)</f>
        <v>0</v>
      </c>
      <c r="K25" s="419">
        <f>SUM('26:25'!K25)</f>
        <v>0</v>
      </c>
      <c r="L25" s="419">
        <f>SUM('26:25'!L25)</f>
        <v>0</v>
      </c>
      <c r="M25" s="419">
        <f>SUM('26:25'!M25)</f>
        <v>0</v>
      </c>
      <c r="N25" s="419">
        <f>SUM('26:25'!N25)</f>
        <v>0</v>
      </c>
      <c r="O25" s="419">
        <f>SUM('26:25'!O25)</f>
        <v>0</v>
      </c>
      <c r="P25" s="419">
        <f>SUM('26:25'!P25)</f>
        <v>0</v>
      </c>
      <c r="Q25" s="419">
        <f>SUM('26:25'!Q25)</f>
        <v>0</v>
      </c>
      <c r="R25" s="419">
        <f>SUM('26:25'!R25)</f>
        <v>0</v>
      </c>
      <c r="S25" s="419">
        <f>SUM('26:25'!S25)</f>
        <v>0</v>
      </c>
      <c r="T25" s="419">
        <f>SUM('26:25'!T25)</f>
        <v>0</v>
      </c>
      <c r="U25" s="593"/>
      <c r="V25" s="419">
        <f>SUM('26:25'!V25)</f>
        <v>0</v>
      </c>
      <c r="W25" s="419">
        <f>SUM('26:25'!W25)</f>
        <v>0</v>
      </c>
      <c r="X25" s="419">
        <f>SUM('26:25'!X25)</f>
        <v>0</v>
      </c>
      <c r="Y25" s="419">
        <f>SUM('26:25'!Y25)</f>
        <v>0</v>
      </c>
      <c r="Z25" s="419">
        <f>SUM('26:25'!Z25)</f>
        <v>0</v>
      </c>
      <c r="AA25" s="419">
        <f>SUM('26:25'!AA25)</f>
        <v>0</v>
      </c>
      <c r="AB25" s="419">
        <f>SUM('26:25'!AB25)</f>
        <v>0</v>
      </c>
      <c r="AC25" s="419">
        <f>SUM('26:25'!AC25)</f>
        <v>0</v>
      </c>
      <c r="AD25" s="419">
        <f>SUM('26:25'!AD25)</f>
        <v>0</v>
      </c>
      <c r="AE25" s="419">
        <f>SUM('26:25'!AE25)</f>
        <v>0</v>
      </c>
      <c r="AF25" s="419">
        <f>SUM('26:25'!AF25)</f>
        <v>0</v>
      </c>
      <c r="AG25" s="419">
        <f>SUM('26:25'!AG25)</f>
        <v>0</v>
      </c>
      <c r="AH25" s="419">
        <f>SUM('26:25'!AH25)</f>
        <v>0</v>
      </c>
      <c r="AI25" s="419">
        <f>SUM('26:25'!AI25)</f>
        <v>0</v>
      </c>
      <c r="AJ25" s="419">
        <f>SUM('26:25'!AJ25)</f>
        <v>0</v>
      </c>
      <c r="AK25" s="593"/>
      <c r="AL25" s="419">
        <f>SUM('26:25'!AL25)</f>
        <v>0</v>
      </c>
      <c r="AM25" s="419">
        <f>SUM('26:25'!AM25)</f>
        <v>0</v>
      </c>
      <c r="AN25" s="419">
        <f>SUM('26:25'!AN25)</f>
        <v>0</v>
      </c>
      <c r="AO25" s="419">
        <f>SUM('26:25'!AO25)</f>
        <v>0</v>
      </c>
      <c r="AP25" s="597"/>
      <c r="AQ25" s="419">
        <f>SUM('26:25'!AQ25)</f>
        <v>0</v>
      </c>
      <c r="AR25" s="419">
        <f>SUM('26:25'!AR25)</f>
        <v>0</v>
      </c>
      <c r="AS25" s="419">
        <f>SUM('26:25'!AS25)</f>
        <v>0</v>
      </c>
      <c r="AT25" s="419">
        <f>SUM('26:25'!AT25)</f>
        <v>0</v>
      </c>
      <c r="AU25" s="419">
        <f>SUM('26:25'!AU25)</f>
        <v>0</v>
      </c>
      <c r="AV25" s="419">
        <f>SUM('26:25'!AV25)</f>
        <v>0</v>
      </c>
      <c r="AW25" s="419">
        <f>SUM('26:25'!AW25)</f>
        <v>0</v>
      </c>
      <c r="AX25" s="419">
        <f>SUM('26:25'!AX25)</f>
        <v>0</v>
      </c>
      <c r="AY25" s="419">
        <f>SUM('26:25'!AY25)</f>
        <v>0</v>
      </c>
      <c r="AZ25" s="419">
        <f>SUM('26:25'!AZ25)</f>
        <v>0</v>
      </c>
      <c r="BA25" s="419">
        <f>SUM('26:25'!BA25)</f>
        <v>0</v>
      </c>
      <c r="BB25" s="419">
        <f>SUM('26:25'!BB25)</f>
        <v>0</v>
      </c>
      <c r="BC25" s="419">
        <f>SUM('26:25'!BC25)</f>
        <v>0</v>
      </c>
      <c r="BD25" s="593"/>
      <c r="BE25" s="419">
        <f>SUM('26:25'!BE25)</f>
        <v>0</v>
      </c>
      <c r="BF25" s="419">
        <f>SUM('26:25'!BF25)</f>
        <v>0</v>
      </c>
      <c r="BG25" s="419">
        <f>SUM('26:25'!BG25)</f>
        <v>0</v>
      </c>
      <c r="BH25" s="419">
        <f>SUM('26:25'!BH25)</f>
        <v>0</v>
      </c>
      <c r="BI25" s="593"/>
      <c r="BJ25" s="419">
        <f>SUM('26:25'!BJ25)</f>
        <v>0</v>
      </c>
      <c r="BK25" s="419">
        <f>SUM('26:25'!BK25)</f>
        <v>0</v>
      </c>
      <c r="BL25" s="419">
        <f>SUM('26:25'!BL25)</f>
        <v>0</v>
      </c>
      <c r="BM25" s="419">
        <f>SUM('26:25'!BM25)</f>
        <v>0</v>
      </c>
      <c r="BN25" s="419">
        <f>SUM('26:25'!BN25)</f>
        <v>0</v>
      </c>
      <c r="BO25" s="419">
        <f>SUM('26:25'!BO25)</f>
        <v>0</v>
      </c>
      <c r="BP25" s="419">
        <f>SUM('26:25'!BP25)</f>
        <v>0</v>
      </c>
      <c r="BQ25" s="419">
        <f>SUM('26:25'!BQ25)</f>
        <v>0</v>
      </c>
      <c r="BR25" s="419">
        <f>SUM('26:25'!BR25)</f>
        <v>0</v>
      </c>
      <c r="BS25" s="419">
        <f>SUM('26:25'!BS25)</f>
        <v>0</v>
      </c>
      <c r="BT25" s="419">
        <f>SUM('26:25'!BT25)</f>
        <v>0</v>
      </c>
      <c r="BU25" s="419">
        <f>SUM('26:25'!BU25)</f>
        <v>0</v>
      </c>
      <c r="BV25" s="419">
        <f>SUM('26:25'!BV25)</f>
        <v>0</v>
      </c>
      <c r="BW25" s="419">
        <f>SUM('26:25'!BW25)</f>
        <v>0</v>
      </c>
      <c r="BX25" s="819">
        <f t="shared" si="1"/>
        <v>0</v>
      </c>
      <c r="BY25">
        <v>88440</v>
      </c>
      <c r="BZ25">
        <v>16780</v>
      </c>
      <c r="CE25" s="795"/>
    </row>
    <row r="26" spans="1:84" ht="19.5" customHeight="1">
      <c r="A26" s="418">
        <f>'BANG LUONG 1'!A28</f>
        <v>23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>
        <f>SUM('26:25'!E26)</f>
        <v>0</v>
      </c>
      <c r="F26" s="419">
        <f>SUM('26:25'!F26)</f>
        <v>0</v>
      </c>
      <c r="G26" s="419">
        <f>SUM('26:25'!G26)</f>
        <v>0</v>
      </c>
      <c r="H26" s="419">
        <f>SUM('26:25'!H26)</f>
        <v>0</v>
      </c>
      <c r="I26" s="419">
        <f>SUM('26:25'!I26)</f>
        <v>0</v>
      </c>
      <c r="J26" s="419">
        <f>SUM('26:25'!J26)</f>
        <v>0</v>
      </c>
      <c r="K26" s="419">
        <f>SUM('26:25'!K26)</f>
        <v>0</v>
      </c>
      <c r="L26" s="419">
        <f>SUM('26:25'!L26)</f>
        <v>0</v>
      </c>
      <c r="M26" s="419">
        <f>SUM('26:25'!M26)</f>
        <v>0</v>
      </c>
      <c r="N26" s="419">
        <f>SUM('26:25'!N26)</f>
        <v>0</v>
      </c>
      <c r="O26" s="419">
        <f>SUM('26:25'!O26)</f>
        <v>0</v>
      </c>
      <c r="P26" s="419">
        <f>SUM('26:25'!P26)</f>
        <v>0</v>
      </c>
      <c r="Q26" s="419">
        <f>SUM('26:25'!Q26)</f>
        <v>0</v>
      </c>
      <c r="R26" s="419">
        <f>SUM('26:25'!R26)</f>
        <v>0</v>
      </c>
      <c r="S26" s="419">
        <f>SUM('26:25'!S26)</f>
        <v>0</v>
      </c>
      <c r="T26" s="419">
        <f>SUM('26:25'!T26)</f>
        <v>0</v>
      </c>
      <c r="U26" s="593"/>
      <c r="V26" s="419">
        <f>SUM('26:25'!V26)</f>
        <v>0</v>
      </c>
      <c r="W26" s="419">
        <f>SUM('26:25'!W26)</f>
        <v>0</v>
      </c>
      <c r="X26" s="419">
        <f>SUM('26:25'!X26)</f>
        <v>0</v>
      </c>
      <c r="Y26" s="419">
        <f>SUM('26:25'!Y26)</f>
        <v>0</v>
      </c>
      <c r="Z26" s="419">
        <f>SUM('26:25'!Z26)</f>
        <v>0</v>
      </c>
      <c r="AA26" s="419">
        <f>SUM('26:25'!AA26)</f>
        <v>0</v>
      </c>
      <c r="AB26" s="419">
        <f>SUM('26:25'!AB26)</f>
        <v>0</v>
      </c>
      <c r="AC26" s="419">
        <f>SUM('26:25'!AC26)</f>
        <v>0</v>
      </c>
      <c r="AD26" s="419">
        <f>SUM('26:25'!AD26)</f>
        <v>0</v>
      </c>
      <c r="AE26" s="419">
        <f>SUM('26:25'!AE26)</f>
        <v>0</v>
      </c>
      <c r="AF26" s="419">
        <f>SUM('26:25'!AF26)</f>
        <v>0</v>
      </c>
      <c r="AG26" s="419">
        <f>SUM('26:25'!AG26)</f>
        <v>0</v>
      </c>
      <c r="AH26" s="419">
        <f>SUM('26:25'!AH26)</f>
        <v>0</v>
      </c>
      <c r="AI26" s="419">
        <f>SUM('26:25'!AI26)</f>
        <v>0</v>
      </c>
      <c r="AJ26" s="419">
        <f>SUM('26:25'!AJ26)</f>
        <v>0</v>
      </c>
      <c r="AK26" s="593"/>
      <c r="AL26" s="419">
        <f>SUM('26:25'!AL26)</f>
        <v>0</v>
      </c>
      <c r="AM26" s="419">
        <f>SUM('26:25'!AM26)</f>
        <v>0</v>
      </c>
      <c r="AN26" s="419">
        <f>SUM('26:25'!AN26)</f>
        <v>0</v>
      </c>
      <c r="AO26" s="419">
        <f>SUM('26:25'!AO26)</f>
        <v>0</v>
      </c>
      <c r="AP26" s="597"/>
      <c r="AQ26" s="419">
        <f>SUM('26:25'!AQ26)</f>
        <v>0</v>
      </c>
      <c r="AR26" s="419">
        <f>SUM('26:25'!AR26)</f>
        <v>0</v>
      </c>
      <c r="AS26" s="419">
        <f>SUM('26:25'!AS26)</f>
        <v>0</v>
      </c>
      <c r="AT26" s="419">
        <f>SUM('26:25'!AT26)</f>
        <v>0</v>
      </c>
      <c r="AU26" s="419">
        <f>SUM('26:25'!AU26)</f>
        <v>0</v>
      </c>
      <c r="AV26" s="419">
        <f>SUM('26:25'!AV26)</f>
        <v>0</v>
      </c>
      <c r="AW26" s="419">
        <f>SUM('26:25'!AW26)</f>
        <v>0</v>
      </c>
      <c r="AX26" s="419">
        <f>SUM('26:25'!AX26)</f>
        <v>0</v>
      </c>
      <c r="AY26" s="419">
        <f>SUM('26:25'!AY26)</f>
        <v>0</v>
      </c>
      <c r="AZ26" s="419">
        <f>SUM('26:25'!AZ26)</f>
        <v>0</v>
      </c>
      <c r="BA26" s="419">
        <f>SUM('26:25'!BA26)</f>
        <v>0</v>
      </c>
      <c r="BB26" s="419">
        <f>SUM('26:25'!BB26)</f>
        <v>0</v>
      </c>
      <c r="BC26" s="419">
        <f>SUM('26:25'!BC26)</f>
        <v>0</v>
      </c>
      <c r="BD26" s="593"/>
      <c r="BE26" s="419">
        <f>SUM('26:25'!BE26)</f>
        <v>0</v>
      </c>
      <c r="BF26" s="419">
        <f>SUM('26:25'!BF26)</f>
        <v>0</v>
      </c>
      <c r="BG26" s="419">
        <f>SUM('26:25'!BG26)</f>
        <v>0</v>
      </c>
      <c r="BH26" s="419">
        <f>SUM('26:25'!BH26)</f>
        <v>0</v>
      </c>
      <c r="BI26" s="593"/>
      <c r="BJ26" s="419">
        <f>SUM('26:25'!BJ26)</f>
        <v>0</v>
      </c>
      <c r="BK26" s="419">
        <f>SUM('26:25'!BK26)</f>
        <v>0</v>
      </c>
      <c r="BL26" s="419">
        <f>SUM('26:25'!BL26)</f>
        <v>0</v>
      </c>
      <c r="BM26" s="419">
        <f>SUM('26:25'!BM26)</f>
        <v>0</v>
      </c>
      <c r="BN26" s="419">
        <f>SUM('26:25'!BN26)</f>
        <v>0</v>
      </c>
      <c r="BO26" s="419">
        <f>SUM('26:25'!BO26)</f>
        <v>0</v>
      </c>
      <c r="BP26" s="419">
        <f>SUM('26:25'!BP26)</f>
        <v>0</v>
      </c>
      <c r="BQ26" s="419">
        <f>SUM('26:25'!BQ26)</f>
        <v>0</v>
      </c>
      <c r="BR26" s="419">
        <f>SUM('26:25'!BR26)</f>
        <v>0</v>
      </c>
      <c r="BS26" s="419">
        <f>SUM('26:25'!BS26)</f>
        <v>0</v>
      </c>
      <c r="BT26" s="419">
        <f>SUM('26:25'!BT26)</f>
        <v>0</v>
      </c>
      <c r="BU26" s="419">
        <f>SUM('26:25'!BU26)</f>
        <v>0</v>
      </c>
      <c r="BV26" s="419">
        <f>SUM('26:25'!BV26)</f>
        <v>0</v>
      </c>
      <c r="BW26" s="419">
        <f>SUM('26:25'!BW26)</f>
        <v>0</v>
      </c>
      <c r="BX26" s="819">
        <f t="shared" si="1"/>
        <v>0</v>
      </c>
      <c r="BY26">
        <v>155760</v>
      </c>
      <c r="BZ26">
        <v>28800</v>
      </c>
    </row>
    <row r="27" spans="1:84" ht="19.5" customHeight="1">
      <c r="A27" s="418">
        <f>'BANG LUONG 1'!A29</f>
        <v>24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>
        <f>SUM('26:25'!E27)</f>
        <v>0</v>
      </c>
      <c r="F27" s="419">
        <f>SUM('26:25'!F27)</f>
        <v>0</v>
      </c>
      <c r="G27" s="419">
        <f>SUM('26:25'!G27)</f>
        <v>0</v>
      </c>
      <c r="H27" s="419">
        <f>SUM('26:25'!H27)</f>
        <v>0</v>
      </c>
      <c r="I27" s="419">
        <f>SUM('26:25'!I27)</f>
        <v>0</v>
      </c>
      <c r="J27" s="419">
        <f>SUM('26:25'!J27)</f>
        <v>0</v>
      </c>
      <c r="K27" s="419">
        <f>SUM('26:25'!K27)</f>
        <v>0</v>
      </c>
      <c r="L27" s="419">
        <f>SUM('26:25'!L27)</f>
        <v>0</v>
      </c>
      <c r="M27" s="419">
        <f>SUM('26:25'!M27)</f>
        <v>0</v>
      </c>
      <c r="N27" s="419">
        <f>SUM('26:25'!N27)</f>
        <v>0</v>
      </c>
      <c r="O27" s="419">
        <f>SUM('26:25'!O27)</f>
        <v>0</v>
      </c>
      <c r="P27" s="419">
        <f>SUM('26:25'!P27)</f>
        <v>0</v>
      </c>
      <c r="Q27" s="419">
        <f>SUM('26:25'!Q27)</f>
        <v>0</v>
      </c>
      <c r="R27" s="419">
        <f>SUM('26:25'!R27)</f>
        <v>0</v>
      </c>
      <c r="S27" s="419">
        <f>SUM('26:25'!S27)</f>
        <v>0</v>
      </c>
      <c r="T27" s="419">
        <f>SUM('26:25'!T27)</f>
        <v>0</v>
      </c>
      <c r="U27" s="593"/>
      <c r="V27" s="419">
        <f>SUM('26:25'!V27)</f>
        <v>0</v>
      </c>
      <c r="W27" s="419">
        <f>SUM('26:25'!W27)</f>
        <v>0</v>
      </c>
      <c r="X27" s="419">
        <f>SUM('26:25'!X27)</f>
        <v>0</v>
      </c>
      <c r="Y27" s="419">
        <f>SUM('26:25'!Y27)</f>
        <v>0</v>
      </c>
      <c r="Z27" s="419">
        <f>SUM('26:25'!Z27)</f>
        <v>0</v>
      </c>
      <c r="AA27" s="419">
        <f>SUM('26:25'!AA27)</f>
        <v>0</v>
      </c>
      <c r="AB27" s="419">
        <f>SUM('26:25'!AB27)</f>
        <v>0</v>
      </c>
      <c r="AC27" s="419">
        <f>SUM('26:25'!AC27)</f>
        <v>0</v>
      </c>
      <c r="AD27" s="419">
        <f>SUM('26:25'!AD27)</f>
        <v>0</v>
      </c>
      <c r="AE27" s="419">
        <f>SUM('26:25'!AE27)</f>
        <v>0</v>
      </c>
      <c r="AF27" s="419">
        <f>SUM('26:25'!AF27)</f>
        <v>0</v>
      </c>
      <c r="AG27" s="419">
        <f>SUM('26:25'!AG27)</f>
        <v>0</v>
      </c>
      <c r="AH27" s="419">
        <f>SUM('26:25'!AH27)</f>
        <v>0</v>
      </c>
      <c r="AI27" s="419">
        <f>SUM('26:25'!AI27)</f>
        <v>0</v>
      </c>
      <c r="AJ27" s="419">
        <f>SUM('26:25'!AJ27)</f>
        <v>0</v>
      </c>
      <c r="AK27" s="593"/>
      <c r="AL27" s="419">
        <f>SUM('26:25'!AL27)</f>
        <v>0</v>
      </c>
      <c r="AM27" s="419">
        <f>SUM('26:25'!AM27)</f>
        <v>0</v>
      </c>
      <c r="AN27" s="419">
        <f>SUM('26:25'!AN27)</f>
        <v>0</v>
      </c>
      <c r="AO27" s="419">
        <f>SUM('26:25'!AO27)</f>
        <v>0</v>
      </c>
      <c r="AP27" s="597"/>
      <c r="AQ27" s="419">
        <f>SUM('26:25'!AQ27)</f>
        <v>0</v>
      </c>
      <c r="AR27" s="419">
        <f>SUM('26:25'!AR27)</f>
        <v>0</v>
      </c>
      <c r="AS27" s="419">
        <f>SUM('26:25'!AS27)</f>
        <v>0</v>
      </c>
      <c r="AT27" s="419">
        <f>SUM('26:25'!AT27)</f>
        <v>0</v>
      </c>
      <c r="AU27" s="419">
        <f>SUM('26:25'!AU27)</f>
        <v>0</v>
      </c>
      <c r="AV27" s="419">
        <f>SUM('26:25'!AV27)</f>
        <v>0</v>
      </c>
      <c r="AW27" s="419">
        <f>SUM('26:25'!AW27)</f>
        <v>0</v>
      </c>
      <c r="AX27" s="419">
        <f>SUM('26:25'!AX27)</f>
        <v>0</v>
      </c>
      <c r="AY27" s="419">
        <f>SUM('26:25'!AY27)</f>
        <v>0</v>
      </c>
      <c r="AZ27" s="419">
        <f>SUM('26:25'!AZ27)</f>
        <v>0</v>
      </c>
      <c r="BA27" s="419">
        <f>SUM('26:25'!BA27)</f>
        <v>0</v>
      </c>
      <c r="BB27" s="419">
        <f>SUM('26:25'!BB27)</f>
        <v>0</v>
      </c>
      <c r="BC27" s="419">
        <f>SUM('26:25'!BC27)</f>
        <v>0</v>
      </c>
      <c r="BD27" s="593"/>
      <c r="BE27" s="419">
        <f>SUM('26:25'!BE27)</f>
        <v>0</v>
      </c>
      <c r="BF27" s="419">
        <f>SUM('26:25'!BF27)</f>
        <v>0</v>
      </c>
      <c r="BG27" s="419">
        <f>SUM('26:25'!BG27)</f>
        <v>0</v>
      </c>
      <c r="BH27" s="419">
        <f>SUM('26:25'!BH27)</f>
        <v>0</v>
      </c>
      <c r="BI27" s="593"/>
      <c r="BJ27" s="419">
        <f>SUM('26:25'!BJ27)</f>
        <v>0</v>
      </c>
      <c r="BK27" s="419">
        <f>SUM('26:25'!BK27)</f>
        <v>0</v>
      </c>
      <c r="BL27" s="419">
        <f>SUM('26:25'!BL27)</f>
        <v>0</v>
      </c>
      <c r="BM27" s="419">
        <f>SUM('26:25'!BM27)</f>
        <v>0</v>
      </c>
      <c r="BN27" s="419">
        <f>SUM('26:25'!BN27)</f>
        <v>0</v>
      </c>
      <c r="BO27" s="419">
        <f>SUM('26:25'!BO27)</f>
        <v>0</v>
      </c>
      <c r="BP27" s="419">
        <f>SUM('26:25'!BP27)</f>
        <v>0</v>
      </c>
      <c r="BQ27" s="419">
        <f>SUM('26:25'!BQ27)</f>
        <v>0</v>
      </c>
      <c r="BR27" s="419">
        <f>SUM('26:25'!BR27)</f>
        <v>0</v>
      </c>
      <c r="BS27" s="419">
        <f>SUM('26:25'!BS27)</f>
        <v>0</v>
      </c>
      <c r="BT27" s="419">
        <f>SUM('26:25'!BT27)</f>
        <v>0</v>
      </c>
      <c r="BU27" s="419">
        <f>SUM('26:25'!BU27)</f>
        <v>0</v>
      </c>
      <c r="BV27" s="419">
        <f>SUM('26:25'!BV27)</f>
        <v>0</v>
      </c>
      <c r="BW27" s="419">
        <f>SUM('26:25'!BW27)</f>
        <v>0</v>
      </c>
      <c r="BX27" s="819">
        <f t="shared" si="1"/>
        <v>0</v>
      </c>
      <c r="BY27">
        <v>190010</v>
      </c>
      <c r="BZ27">
        <v>30100</v>
      </c>
    </row>
    <row r="28" spans="1:84" ht="19.5" customHeight="1">
      <c r="A28" s="418">
        <f>'BANG LUONG 1'!A30</f>
        <v>25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>
        <f>SUM('26:25'!E28)</f>
        <v>0</v>
      </c>
      <c r="F28" s="419">
        <f>SUM('26:25'!F28)</f>
        <v>0</v>
      </c>
      <c r="G28" s="419">
        <f>SUM('26:25'!G28)</f>
        <v>0</v>
      </c>
      <c r="H28" s="419">
        <f>SUM('26:25'!H28)</f>
        <v>0</v>
      </c>
      <c r="I28" s="419">
        <f>SUM('26:25'!I28)</f>
        <v>0</v>
      </c>
      <c r="J28" s="419">
        <f>SUM('26:25'!J28)</f>
        <v>0</v>
      </c>
      <c r="K28" s="419">
        <f>SUM('26:25'!K28)</f>
        <v>0</v>
      </c>
      <c r="L28" s="419">
        <f>SUM('26:25'!L28)</f>
        <v>0</v>
      </c>
      <c r="M28" s="419">
        <f>SUM('26:25'!M28)</f>
        <v>0</v>
      </c>
      <c r="N28" s="419">
        <f>SUM('26:25'!N28)</f>
        <v>0</v>
      </c>
      <c r="O28" s="419">
        <f>SUM('26:25'!O28)</f>
        <v>0</v>
      </c>
      <c r="P28" s="419">
        <f>SUM('26:25'!P28)</f>
        <v>0</v>
      </c>
      <c r="Q28" s="419">
        <f>SUM('26:25'!Q28)</f>
        <v>0</v>
      </c>
      <c r="R28" s="419">
        <f>SUM('26:25'!R28)</f>
        <v>0</v>
      </c>
      <c r="S28" s="419">
        <f>SUM('26:25'!S28)</f>
        <v>0</v>
      </c>
      <c r="T28" s="419">
        <f>SUM('26:25'!T28)</f>
        <v>0</v>
      </c>
      <c r="U28" s="593"/>
      <c r="V28" s="419">
        <f>SUM('26:25'!V28)</f>
        <v>0</v>
      </c>
      <c r="W28" s="419">
        <f>SUM('26:25'!W28)</f>
        <v>0</v>
      </c>
      <c r="X28" s="419">
        <f>SUM('26:25'!X28)</f>
        <v>0</v>
      </c>
      <c r="Y28" s="419">
        <f>SUM('26:25'!Y28)</f>
        <v>0</v>
      </c>
      <c r="Z28" s="419">
        <f>SUM('26:25'!Z28)</f>
        <v>0</v>
      </c>
      <c r="AA28" s="419">
        <f>SUM('26:25'!AA28)</f>
        <v>0</v>
      </c>
      <c r="AB28" s="419">
        <f>SUM('26:25'!AB28)</f>
        <v>0</v>
      </c>
      <c r="AC28" s="419">
        <f>SUM('26:25'!AC28)</f>
        <v>0</v>
      </c>
      <c r="AD28" s="419">
        <f>SUM('26:25'!AD28)</f>
        <v>0</v>
      </c>
      <c r="AE28" s="419">
        <f>SUM('26:25'!AE28)</f>
        <v>0</v>
      </c>
      <c r="AF28" s="419">
        <f>SUM('26:25'!AF28)</f>
        <v>0</v>
      </c>
      <c r="AG28" s="419">
        <f>SUM('26:25'!AG28)</f>
        <v>0</v>
      </c>
      <c r="AH28" s="419">
        <f>SUM('26:25'!AH28)</f>
        <v>0</v>
      </c>
      <c r="AI28" s="419">
        <f>SUM('26:25'!AI28)</f>
        <v>0</v>
      </c>
      <c r="AJ28" s="419">
        <f>SUM('26:25'!AJ28)</f>
        <v>0</v>
      </c>
      <c r="AK28" s="593"/>
      <c r="AL28" s="419">
        <f>SUM('26:25'!AL28)</f>
        <v>0</v>
      </c>
      <c r="AM28" s="419">
        <f>SUM('26:25'!AM28)</f>
        <v>0</v>
      </c>
      <c r="AN28" s="419">
        <f>SUM('26:25'!AN28)</f>
        <v>0</v>
      </c>
      <c r="AO28" s="419">
        <f>SUM('26:25'!AO28)</f>
        <v>0</v>
      </c>
      <c r="AP28" s="597"/>
      <c r="AQ28" s="419">
        <f>SUM('26:25'!AQ28)</f>
        <v>0</v>
      </c>
      <c r="AR28" s="419">
        <f>SUM('26:25'!AR28)</f>
        <v>0</v>
      </c>
      <c r="AS28" s="419">
        <f>SUM('26:25'!AS28)</f>
        <v>0</v>
      </c>
      <c r="AT28" s="419">
        <f>SUM('26:25'!AT28)</f>
        <v>0</v>
      </c>
      <c r="AU28" s="419">
        <f>SUM('26:25'!AU28)</f>
        <v>0</v>
      </c>
      <c r="AV28" s="419">
        <f>SUM('26:25'!AV28)</f>
        <v>0</v>
      </c>
      <c r="AW28" s="419">
        <f>SUM('26:25'!AW28)</f>
        <v>0</v>
      </c>
      <c r="AX28" s="419">
        <f>SUM('26:25'!AX28)</f>
        <v>0</v>
      </c>
      <c r="AY28" s="419">
        <f>SUM('26:25'!AY28)</f>
        <v>0</v>
      </c>
      <c r="AZ28" s="419">
        <f>SUM('26:25'!AZ28)</f>
        <v>0</v>
      </c>
      <c r="BA28" s="419">
        <f>SUM('26:25'!BA28)</f>
        <v>0</v>
      </c>
      <c r="BB28" s="419">
        <f>SUM('26:25'!BB28)</f>
        <v>0</v>
      </c>
      <c r="BC28" s="419">
        <f>SUM('26:25'!BC28)</f>
        <v>0</v>
      </c>
      <c r="BD28" s="593"/>
      <c r="BE28" s="419">
        <f>SUM('26:25'!BE28)</f>
        <v>0</v>
      </c>
      <c r="BF28" s="419">
        <f>SUM('26:25'!BF28)</f>
        <v>0</v>
      </c>
      <c r="BG28" s="419">
        <f>SUM('26:25'!BG28)</f>
        <v>0</v>
      </c>
      <c r="BH28" s="419">
        <f>SUM('26:25'!BH28)</f>
        <v>0</v>
      </c>
      <c r="BI28" s="593"/>
      <c r="BJ28" s="419">
        <f>SUM('26:25'!BJ28)</f>
        <v>0</v>
      </c>
      <c r="BK28" s="419">
        <f>SUM('26:25'!BK28)</f>
        <v>0</v>
      </c>
      <c r="BL28" s="419">
        <f>SUM('26:25'!BL28)</f>
        <v>0</v>
      </c>
      <c r="BM28" s="419">
        <f>SUM('26:25'!BM28)</f>
        <v>0</v>
      </c>
      <c r="BN28" s="419">
        <f>SUM('26:25'!BN28)</f>
        <v>0</v>
      </c>
      <c r="BO28" s="419">
        <f>SUM('26:25'!BO28)</f>
        <v>0</v>
      </c>
      <c r="BP28" s="419">
        <f>SUM('26:25'!BP28)</f>
        <v>0</v>
      </c>
      <c r="BQ28" s="419">
        <f>SUM('26:25'!BQ28)</f>
        <v>0</v>
      </c>
      <c r="BR28" s="419">
        <f>SUM('26:25'!BR28)</f>
        <v>0</v>
      </c>
      <c r="BS28" s="419">
        <f>SUM('26:25'!BS28)</f>
        <v>0</v>
      </c>
      <c r="BT28" s="419">
        <f>SUM('26:25'!BT28)</f>
        <v>0</v>
      </c>
      <c r="BU28" s="419">
        <f>SUM('26:25'!BU28)</f>
        <v>0</v>
      </c>
      <c r="BV28" s="419">
        <f>SUM('26:25'!BV28)</f>
        <v>0</v>
      </c>
      <c r="BW28" s="419">
        <f>SUM('26:25'!BW28)</f>
        <v>0</v>
      </c>
      <c r="BX28" s="819">
        <f t="shared" si="1"/>
        <v>0</v>
      </c>
      <c r="BY28">
        <v>78380</v>
      </c>
      <c r="BZ28">
        <v>72460</v>
      </c>
      <c r="CA28">
        <v>44330</v>
      </c>
    </row>
    <row r="29" spans="1:84" ht="19.5" customHeight="1">
      <c r="A29" s="418">
        <f>'BANG LUONG 1'!A31</f>
        <v>26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>
        <f>SUM('26:25'!E29)</f>
        <v>0</v>
      </c>
      <c r="F29" s="419">
        <f>SUM('26:25'!F29)</f>
        <v>0</v>
      </c>
      <c r="G29" s="419">
        <f>SUM('26:25'!G29)</f>
        <v>0</v>
      </c>
      <c r="H29" s="419">
        <f>SUM('26:25'!H29)</f>
        <v>0</v>
      </c>
      <c r="I29" s="419">
        <f>SUM('26:25'!I29)</f>
        <v>0</v>
      </c>
      <c r="J29" s="419">
        <f>SUM('26:25'!J29)</f>
        <v>0</v>
      </c>
      <c r="K29" s="419">
        <f>SUM('26:25'!K29)</f>
        <v>0</v>
      </c>
      <c r="L29" s="419">
        <f>SUM('26:25'!L29)</f>
        <v>0</v>
      </c>
      <c r="M29" s="419">
        <f>SUM('26:25'!M29)</f>
        <v>0</v>
      </c>
      <c r="N29" s="419">
        <f>SUM('26:25'!N29)</f>
        <v>0</v>
      </c>
      <c r="O29" s="419">
        <f>SUM('26:25'!O29)</f>
        <v>0</v>
      </c>
      <c r="P29" s="419">
        <f>SUM('26:25'!P29)</f>
        <v>0</v>
      </c>
      <c r="Q29" s="419">
        <f>SUM('26:25'!Q29)</f>
        <v>0</v>
      </c>
      <c r="R29" s="419">
        <f>SUM('26:25'!R29)</f>
        <v>0</v>
      </c>
      <c r="S29" s="419">
        <f>SUM('26:25'!S29)</f>
        <v>0</v>
      </c>
      <c r="T29" s="419">
        <f>SUM('26:25'!T29)</f>
        <v>0</v>
      </c>
      <c r="U29" s="593"/>
      <c r="V29" s="419">
        <f>SUM('26:25'!V29)</f>
        <v>0</v>
      </c>
      <c r="W29" s="419">
        <f>SUM('26:25'!W29)</f>
        <v>0</v>
      </c>
      <c r="X29" s="419">
        <f>SUM('26:25'!X29)</f>
        <v>0</v>
      </c>
      <c r="Y29" s="419">
        <f>SUM('26:25'!Y29)</f>
        <v>0</v>
      </c>
      <c r="Z29" s="419">
        <f>SUM('26:25'!Z29)</f>
        <v>0</v>
      </c>
      <c r="AA29" s="419">
        <f>SUM('26:25'!AA29)</f>
        <v>0</v>
      </c>
      <c r="AB29" s="419">
        <f>SUM('26:25'!AB29)</f>
        <v>0</v>
      </c>
      <c r="AC29" s="419">
        <f>SUM('26:25'!AC29)</f>
        <v>0</v>
      </c>
      <c r="AD29" s="419">
        <f>SUM('26:25'!AD29)</f>
        <v>0</v>
      </c>
      <c r="AE29" s="419">
        <f>SUM('26:25'!AE29)</f>
        <v>0</v>
      </c>
      <c r="AF29" s="419">
        <f>SUM('26:25'!AF29)</f>
        <v>0</v>
      </c>
      <c r="AG29" s="419">
        <f>SUM('26:25'!AG29)</f>
        <v>0</v>
      </c>
      <c r="AH29" s="419">
        <f>SUM('26:25'!AH29)</f>
        <v>0</v>
      </c>
      <c r="AI29" s="419">
        <f>SUM('26:25'!AI29)</f>
        <v>0</v>
      </c>
      <c r="AJ29" s="419">
        <f>SUM('26:25'!AJ29)</f>
        <v>0</v>
      </c>
      <c r="AK29" s="593"/>
      <c r="AL29" s="419">
        <f>SUM('26:25'!AL29)</f>
        <v>0</v>
      </c>
      <c r="AM29" s="419">
        <f>SUM('26:25'!AM29)</f>
        <v>0</v>
      </c>
      <c r="AN29" s="419">
        <f>SUM('26:25'!AN29)</f>
        <v>0</v>
      </c>
      <c r="AO29" s="419">
        <f>SUM('26:25'!AO29)</f>
        <v>0</v>
      </c>
      <c r="AP29" s="597"/>
      <c r="AQ29" s="419">
        <f>SUM('26:25'!AQ29)</f>
        <v>0</v>
      </c>
      <c r="AR29" s="419">
        <f>SUM('26:25'!AR29)</f>
        <v>0</v>
      </c>
      <c r="AS29" s="419">
        <f>SUM('26:25'!AS29)</f>
        <v>0</v>
      </c>
      <c r="AT29" s="419">
        <f>SUM('26:25'!AT29)</f>
        <v>0</v>
      </c>
      <c r="AU29" s="419">
        <f>SUM('26:25'!AU29)</f>
        <v>0</v>
      </c>
      <c r="AV29" s="419">
        <f>SUM('26:25'!AV29)</f>
        <v>0</v>
      </c>
      <c r="AW29" s="419">
        <f>SUM('26:25'!AW29)</f>
        <v>0</v>
      </c>
      <c r="AX29" s="419">
        <f>SUM('26:25'!AX29)</f>
        <v>0</v>
      </c>
      <c r="AY29" s="419">
        <f>SUM('26:25'!AY29)</f>
        <v>0</v>
      </c>
      <c r="AZ29" s="419">
        <f>SUM('26:25'!AZ29)</f>
        <v>0</v>
      </c>
      <c r="BA29" s="419">
        <f>SUM('26:25'!BA29)</f>
        <v>0</v>
      </c>
      <c r="BB29" s="419">
        <f>SUM('26:25'!BB29)</f>
        <v>0</v>
      </c>
      <c r="BC29" s="419">
        <f>SUM('26:25'!BC29)</f>
        <v>0</v>
      </c>
      <c r="BD29" s="593"/>
      <c r="BE29" s="419">
        <f>SUM('26:25'!BE29)</f>
        <v>0</v>
      </c>
      <c r="BF29" s="419">
        <f>SUM('26:25'!BF29)</f>
        <v>0</v>
      </c>
      <c r="BG29" s="419">
        <f>SUM('26:25'!BG29)</f>
        <v>0</v>
      </c>
      <c r="BH29" s="419">
        <f>SUM('26:25'!BH29)</f>
        <v>0</v>
      </c>
      <c r="BI29" s="593"/>
      <c r="BJ29" s="419">
        <f>SUM('26:25'!BJ29)</f>
        <v>0</v>
      </c>
      <c r="BK29" s="419">
        <f>SUM('26:25'!BK29)</f>
        <v>0</v>
      </c>
      <c r="BL29" s="419">
        <f>SUM('26:25'!BL29)</f>
        <v>0</v>
      </c>
      <c r="BM29" s="419">
        <f>SUM('26:25'!BM29)</f>
        <v>0</v>
      </c>
      <c r="BN29" s="419">
        <f>SUM('26:25'!BN29)</f>
        <v>0</v>
      </c>
      <c r="BO29" s="419">
        <f>SUM('26:25'!BO29)</f>
        <v>0</v>
      </c>
      <c r="BP29" s="419">
        <f>SUM('26:25'!BP29)</f>
        <v>0</v>
      </c>
      <c r="BQ29" s="419">
        <f>SUM('26:25'!BQ29)</f>
        <v>0</v>
      </c>
      <c r="BR29" s="419">
        <f>SUM('26:25'!BR29)</f>
        <v>0</v>
      </c>
      <c r="BS29" s="419">
        <f>SUM('26:25'!BS29)</f>
        <v>0</v>
      </c>
      <c r="BT29" s="419">
        <f>SUM('26:25'!BT29)</f>
        <v>0</v>
      </c>
      <c r="BU29" s="419">
        <f>SUM('26:25'!BU29)</f>
        <v>0</v>
      </c>
      <c r="BV29" s="419">
        <f>SUM('26:25'!BV29)</f>
        <v>0</v>
      </c>
      <c r="BW29" s="419">
        <f>SUM('26:25'!BW29)</f>
        <v>0</v>
      </c>
      <c r="BX29" s="819">
        <f t="shared" si="1"/>
        <v>0</v>
      </c>
      <c r="BY29">
        <v>200940</v>
      </c>
      <c r="BZ29">
        <v>109730</v>
      </c>
      <c r="CA29">
        <v>17890</v>
      </c>
    </row>
    <row r="30" spans="1:84" ht="19.5" customHeight="1">
      <c r="A30" s="418">
        <f>'BANG LUONG 1'!A32</f>
        <v>27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>
        <f>SUM('26:25'!E30)</f>
        <v>0</v>
      </c>
      <c r="F30" s="419">
        <f>SUM('26:25'!F30)</f>
        <v>0</v>
      </c>
      <c r="G30" s="419">
        <f>SUM('26:25'!G30)</f>
        <v>0</v>
      </c>
      <c r="H30" s="419">
        <f>SUM('26:25'!H30)</f>
        <v>0</v>
      </c>
      <c r="I30" s="419">
        <f>SUM('26:25'!I30)</f>
        <v>0</v>
      </c>
      <c r="J30" s="419">
        <f>SUM('26:25'!J30)</f>
        <v>0</v>
      </c>
      <c r="K30" s="419">
        <f>SUM('26:25'!K30)</f>
        <v>0</v>
      </c>
      <c r="L30" s="419">
        <f>SUM('26:25'!L30)</f>
        <v>0</v>
      </c>
      <c r="M30" s="419">
        <f>SUM('26:25'!M30)</f>
        <v>0</v>
      </c>
      <c r="N30" s="419">
        <f>SUM('26:25'!N30)</f>
        <v>0</v>
      </c>
      <c r="O30" s="419">
        <f>SUM('26:25'!O30)</f>
        <v>0</v>
      </c>
      <c r="P30" s="419">
        <f>SUM('26:25'!P30)</f>
        <v>0</v>
      </c>
      <c r="Q30" s="419">
        <f>SUM('26:25'!Q30)</f>
        <v>0</v>
      </c>
      <c r="R30" s="419">
        <f>SUM('26:25'!R30)</f>
        <v>0</v>
      </c>
      <c r="S30" s="419">
        <f>SUM('26:25'!S30)</f>
        <v>0</v>
      </c>
      <c r="T30" s="419">
        <f>SUM('26:25'!T30)</f>
        <v>0</v>
      </c>
      <c r="U30" s="593"/>
      <c r="V30" s="419">
        <f>SUM('26:25'!V30)</f>
        <v>0</v>
      </c>
      <c r="W30" s="419">
        <f>SUM('26:25'!W30)</f>
        <v>0</v>
      </c>
      <c r="X30" s="419">
        <f>SUM('26:25'!X30)</f>
        <v>0</v>
      </c>
      <c r="Y30" s="419">
        <f>SUM('26:25'!Y30)</f>
        <v>0</v>
      </c>
      <c r="Z30" s="419">
        <f>SUM('26:25'!Z30)</f>
        <v>0</v>
      </c>
      <c r="AA30" s="419">
        <f>SUM('26:25'!AA30)</f>
        <v>0</v>
      </c>
      <c r="AB30" s="419">
        <f>SUM('26:25'!AB30)</f>
        <v>0</v>
      </c>
      <c r="AC30" s="419">
        <f>SUM('26:25'!AC30)</f>
        <v>0</v>
      </c>
      <c r="AD30" s="419">
        <f>SUM('26:25'!AD30)</f>
        <v>0</v>
      </c>
      <c r="AE30" s="419">
        <f>SUM('26:25'!AE30)</f>
        <v>0</v>
      </c>
      <c r="AF30" s="419">
        <f>SUM('26:25'!AF30)</f>
        <v>0</v>
      </c>
      <c r="AG30" s="419">
        <f>SUM('26:25'!AG30)</f>
        <v>0</v>
      </c>
      <c r="AH30" s="419">
        <f>SUM('26:25'!AH30)</f>
        <v>0</v>
      </c>
      <c r="AI30" s="419">
        <f>SUM('26:25'!AI30)</f>
        <v>0</v>
      </c>
      <c r="AJ30" s="419">
        <f>SUM('26:25'!AJ30)</f>
        <v>0</v>
      </c>
      <c r="AK30" s="593"/>
      <c r="AL30" s="419">
        <f>SUM('26:25'!AL30)</f>
        <v>0</v>
      </c>
      <c r="AM30" s="419">
        <f>SUM('26:25'!AM30)</f>
        <v>0</v>
      </c>
      <c r="AN30" s="419">
        <f>SUM('26:25'!AN30)</f>
        <v>0</v>
      </c>
      <c r="AO30" s="419">
        <f>SUM('26:25'!AO30)</f>
        <v>0</v>
      </c>
      <c r="AP30" s="597"/>
      <c r="AQ30" s="419">
        <f>SUM('26:25'!AQ30)</f>
        <v>0</v>
      </c>
      <c r="AR30" s="419">
        <f>SUM('26:25'!AR30)</f>
        <v>0</v>
      </c>
      <c r="AS30" s="419">
        <f>SUM('26:25'!AS30)</f>
        <v>0</v>
      </c>
      <c r="AT30" s="419">
        <f>SUM('26:25'!AT30)</f>
        <v>0</v>
      </c>
      <c r="AU30" s="419">
        <f>SUM('26:25'!AU30)</f>
        <v>0</v>
      </c>
      <c r="AV30" s="419">
        <f>SUM('26:25'!AV30)</f>
        <v>0</v>
      </c>
      <c r="AW30" s="419">
        <f>SUM('26:25'!AW30)</f>
        <v>0</v>
      </c>
      <c r="AX30" s="419">
        <f>SUM('26:25'!AX30)</f>
        <v>0</v>
      </c>
      <c r="AY30" s="419">
        <f>SUM('26:25'!AY30)</f>
        <v>0</v>
      </c>
      <c r="AZ30" s="419">
        <f>SUM('26:25'!AZ30)</f>
        <v>0</v>
      </c>
      <c r="BA30" s="419">
        <f>SUM('26:25'!BA30)</f>
        <v>0</v>
      </c>
      <c r="BB30" s="419">
        <f>SUM('26:25'!BB30)</f>
        <v>0</v>
      </c>
      <c r="BC30" s="419">
        <f>SUM('26:25'!BC30)</f>
        <v>0</v>
      </c>
      <c r="BD30" s="593"/>
      <c r="BE30" s="419">
        <f>SUM('26:25'!BE30)</f>
        <v>0</v>
      </c>
      <c r="BF30" s="419">
        <f>SUM('26:25'!BF30)</f>
        <v>0</v>
      </c>
      <c r="BG30" s="419">
        <f>SUM('26:25'!BG30)</f>
        <v>0</v>
      </c>
      <c r="BH30" s="419">
        <f>SUM('26:25'!BH30)</f>
        <v>0</v>
      </c>
      <c r="BI30" s="593"/>
      <c r="BJ30" s="419">
        <f>SUM('26:25'!BJ30)</f>
        <v>0</v>
      </c>
      <c r="BK30" s="419">
        <f>SUM('26:25'!BK30)</f>
        <v>0</v>
      </c>
      <c r="BL30" s="419">
        <f>SUM('26:25'!BL30)</f>
        <v>0</v>
      </c>
      <c r="BM30" s="419">
        <f>SUM('26:25'!BM30)</f>
        <v>0</v>
      </c>
      <c r="BN30" s="419">
        <f>SUM('26:25'!BN30)</f>
        <v>0</v>
      </c>
      <c r="BO30" s="419">
        <f>SUM('26:25'!BO30)</f>
        <v>0</v>
      </c>
      <c r="BP30" s="419">
        <f>SUM('26:25'!BP30)</f>
        <v>0</v>
      </c>
      <c r="BQ30" s="419">
        <f>SUM('26:25'!BQ30)</f>
        <v>0</v>
      </c>
      <c r="BR30" s="419">
        <f>SUM('26:25'!BR30)</f>
        <v>0</v>
      </c>
      <c r="BS30" s="419">
        <f>SUM('26:25'!BS30)</f>
        <v>0</v>
      </c>
      <c r="BT30" s="419">
        <f>SUM('26:25'!BT30)</f>
        <v>0</v>
      </c>
      <c r="BU30" s="419">
        <f>SUM('26:25'!BU30)</f>
        <v>0</v>
      </c>
      <c r="BV30" s="419">
        <f>SUM('26:25'!BV30)</f>
        <v>0</v>
      </c>
      <c r="BW30" s="419">
        <f>SUM('26:25'!BW30)</f>
        <v>0</v>
      </c>
      <c r="BX30" s="819">
        <f t="shared" si="1"/>
        <v>0</v>
      </c>
      <c r="BY30">
        <v>146880</v>
      </c>
      <c r="BZ30">
        <v>16440</v>
      </c>
    </row>
    <row r="31" spans="1:84" ht="19.5" customHeight="1">
      <c r="A31" s="418">
        <f>'BANG LUONG 1'!A33</f>
        <v>28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>
        <f>SUM('26:25'!E31)</f>
        <v>0</v>
      </c>
      <c r="F31" s="419">
        <f>SUM('26:25'!F31)</f>
        <v>0</v>
      </c>
      <c r="G31" s="419">
        <f>SUM('26:25'!G31)</f>
        <v>0</v>
      </c>
      <c r="H31" s="419">
        <f>SUM('26:25'!H31)</f>
        <v>0</v>
      </c>
      <c r="I31" s="419">
        <f>SUM('26:25'!I31)</f>
        <v>0</v>
      </c>
      <c r="J31" s="419">
        <f>SUM('26:25'!J31)</f>
        <v>0</v>
      </c>
      <c r="K31" s="419">
        <f>SUM('26:25'!K31)</f>
        <v>0</v>
      </c>
      <c r="L31" s="419">
        <f>SUM('26:25'!L31)</f>
        <v>0</v>
      </c>
      <c r="M31" s="419">
        <f>SUM('26:25'!M31)</f>
        <v>0</v>
      </c>
      <c r="N31" s="419">
        <f>SUM('26:25'!N31)</f>
        <v>0</v>
      </c>
      <c r="O31" s="419">
        <f>SUM('26:25'!O31)</f>
        <v>0</v>
      </c>
      <c r="P31" s="419">
        <f>SUM('26:25'!P31)</f>
        <v>0</v>
      </c>
      <c r="Q31" s="419">
        <f>SUM('26:25'!Q31)</f>
        <v>0</v>
      </c>
      <c r="R31" s="419">
        <f>SUM('26:25'!R31)</f>
        <v>0</v>
      </c>
      <c r="S31" s="419">
        <f>SUM('26:25'!S31)</f>
        <v>0</v>
      </c>
      <c r="T31" s="419">
        <f>SUM('26:25'!T31)</f>
        <v>0</v>
      </c>
      <c r="U31" s="593"/>
      <c r="V31" s="419">
        <f>SUM('26:25'!V31)</f>
        <v>0</v>
      </c>
      <c r="W31" s="419">
        <f>SUM('26:25'!W31)</f>
        <v>0</v>
      </c>
      <c r="X31" s="419">
        <f>SUM('26:25'!X31)</f>
        <v>0</v>
      </c>
      <c r="Y31" s="419">
        <f>SUM('26:25'!Y31)</f>
        <v>0</v>
      </c>
      <c r="Z31" s="419">
        <f>SUM('26:25'!Z31)</f>
        <v>0</v>
      </c>
      <c r="AA31" s="419">
        <f>SUM('26:25'!AA31)</f>
        <v>0</v>
      </c>
      <c r="AB31" s="419">
        <f>SUM('26:25'!AB31)</f>
        <v>0</v>
      </c>
      <c r="AC31" s="419">
        <f>SUM('26:25'!AC31)</f>
        <v>0</v>
      </c>
      <c r="AD31" s="419">
        <f>SUM('26:25'!AD31)</f>
        <v>0</v>
      </c>
      <c r="AE31" s="419">
        <f>SUM('26:25'!AE31)</f>
        <v>0</v>
      </c>
      <c r="AF31" s="419">
        <f>SUM('26:25'!AF31)</f>
        <v>0</v>
      </c>
      <c r="AG31" s="419">
        <f>SUM('26:25'!AG31)</f>
        <v>0</v>
      </c>
      <c r="AH31" s="419">
        <f>SUM('26:25'!AH31)</f>
        <v>0</v>
      </c>
      <c r="AI31" s="419">
        <f>SUM('26:25'!AI31)</f>
        <v>0</v>
      </c>
      <c r="AJ31" s="419">
        <f>SUM('26:25'!AJ31)</f>
        <v>0</v>
      </c>
      <c r="AK31" s="593"/>
      <c r="AL31" s="419">
        <f>SUM('26:25'!AL31)</f>
        <v>0</v>
      </c>
      <c r="AM31" s="419">
        <f>SUM('26:25'!AM31)</f>
        <v>0</v>
      </c>
      <c r="AN31" s="419">
        <f>SUM('26:25'!AN31)</f>
        <v>0</v>
      </c>
      <c r="AO31" s="419">
        <f>SUM('26:25'!AO31)</f>
        <v>0</v>
      </c>
      <c r="AP31" s="597"/>
      <c r="AQ31" s="419">
        <f>SUM('26:25'!AQ31)</f>
        <v>0</v>
      </c>
      <c r="AR31" s="419">
        <f>SUM('26:25'!AR31)</f>
        <v>0</v>
      </c>
      <c r="AS31" s="419">
        <f>SUM('26:25'!AS31)</f>
        <v>0</v>
      </c>
      <c r="AT31" s="419">
        <f>SUM('26:25'!AT31)</f>
        <v>0</v>
      </c>
      <c r="AU31" s="419">
        <f>SUM('26:25'!AU31)</f>
        <v>0</v>
      </c>
      <c r="AV31" s="419">
        <f>SUM('26:25'!AV31)</f>
        <v>0</v>
      </c>
      <c r="AW31" s="419">
        <f>SUM('26:25'!AW31)</f>
        <v>0</v>
      </c>
      <c r="AX31" s="419">
        <f>SUM('26:25'!AX31)</f>
        <v>0</v>
      </c>
      <c r="AY31" s="419">
        <f>SUM('26:25'!AY31)</f>
        <v>0</v>
      </c>
      <c r="AZ31" s="419">
        <f>SUM('26:25'!AZ31)</f>
        <v>0</v>
      </c>
      <c r="BA31" s="419">
        <f>SUM('26:25'!BA31)</f>
        <v>0</v>
      </c>
      <c r="BB31" s="419">
        <f>SUM('26:25'!BB31)</f>
        <v>0</v>
      </c>
      <c r="BC31" s="419">
        <f>SUM('26:25'!BC31)</f>
        <v>0</v>
      </c>
      <c r="BD31" s="593"/>
      <c r="BE31" s="419">
        <f>SUM('26:25'!BE31)</f>
        <v>0</v>
      </c>
      <c r="BF31" s="419">
        <f>SUM('26:25'!BF31)</f>
        <v>0</v>
      </c>
      <c r="BG31" s="419">
        <f>SUM('26:25'!BG31)</f>
        <v>0</v>
      </c>
      <c r="BH31" s="419">
        <f>SUM('26:25'!BH31)</f>
        <v>0</v>
      </c>
      <c r="BI31" s="593"/>
      <c r="BJ31" s="419">
        <f>SUM('26:25'!BJ31)</f>
        <v>0</v>
      </c>
      <c r="BK31" s="419">
        <f>SUM('26:25'!BK31)</f>
        <v>0</v>
      </c>
      <c r="BL31" s="419">
        <f>SUM('26:25'!BL31)</f>
        <v>0</v>
      </c>
      <c r="BM31" s="419">
        <f>SUM('26:25'!BM31)</f>
        <v>0</v>
      </c>
      <c r="BN31" s="419">
        <f>SUM('26:25'!BN31)</f>
        <v>0</v>
      </c>
      <c r="BO31" s="419">
        <f>SUM('26:25'!BO31)</f>
        <v>0</v>
      </c>
      <c r="BP31" s="419">
        <f>SUM('26:25'!BP31)</f>
        <v>0</v>
      </c>
      <c r="BQ31" s="419">
        <f>SUM('26:25'!BQ31)</f>
        <v>0</v>
      </c>
      <c r="BR31" s="419">
        <f>SUM('26:25'!BR31)</f>
        <v>0</v>
      </c>
      <c r="BS31" s="419">
        <f>SUM('26:25'!BS31)</f>
        <v>0</v>
      </c>
      <c r="BT31" s="419">
        <f>SUM('26:25'!BT31)</f>
        <v>0</v>
      </c>
      <c r="BU31" s="419">
        <f>SUM('26:25'!BU31)</f>
        <v>0</v>
      </c>
      <c r="BV31" s="419">
        <f>SUM('26:25'!BV31)</f>
        <v>0</v>
      </c>
      <c r="BW31" s="419">
        <f>SUM('26:25'!BW31)</f>
        <v>0</v>
      </c>
      <c r="BX31" s="819">
        <f t="shared" si="1"/>
        <v>0</v>
      </c>
      <c r="BY31">
        <v>85970</v>
      </c>
      <c r="CA31">
        <v>50390</v>
      </c>
    </row>
    <row r="32" spans="1:84" ht="19.5" customHeight="1">
      <c r="A32" s="418">
        <f>'BANG LUONG 1'!A17</f>
        <v>29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>
        <f>SUM('26:25'!E32)</f>
        <v>0</v>
      </c>
      <c r="F32" s="419">
        <f>SUM('26:25'!F32)</f>
        <v>0</v>
      </c>
      <c r="G32" s="419">
        <f>SUM('26:25'!G32)</f>
        <v>0</v>
      </c>
      <c r="H32" s="419">
        <f>SUM('26:25'!H32)</f>
        <v>0</v>
      </c>
      <c r="I32" s="419">
        <f>SUM('26:25'!I32)</f>
        <v>0</v>
      </c>
      <c r="J32" s="419">
        <f>SUM('26:25'!J32)</f>
        <v>0</v>
      </c>
      <c r="K32" s="419">
        <f>SUM('26:25'!K32)</f>
        <v>0</v>
      </c>
      <c r="L32" s="419">
        <f>SUM('26:25'!L32)</f>
        <v>0</v>
      </c>
      <c r="M32" s="419">
        <f>SUM('26:25'!M32)</f>
        <v>0</v>
      </c>
      <c r="N32" s="419">
        <f>SUM('26:25'!N32)</f>
        <v>0</v>
      </c>
      <c r="O32" s="419">
        <f>SUM('26:25'!O32)</f>
        <v>0</v>
      </c>
      <c r="P32" s="419">
        <f>SUM('26:25'!P32)</f>
        <v>0</v>
      </c>
      <c r="Q32" s="419">
        <f>SUM('26:25'!Q32)</f>
        <v>0</v>
      </c>
      <c r="R32" s="419">
        <f>SUM('26:25'!R32)</f>
        <v>0</v>
      </c>
      <c r="S32" s="419">
        <f>SUM('26:25'!S32)</f>
        <v>0</v>
      </c>
      <c r="T32" s="419">
        <f>SUM('26:25'!T32)</f>
        <v>0</v>
      </c>
      <c r="U32" s="593"/>
      <c r="V32" s="419">
        <f>SUM('26:25'!V32)</f>
        <v>0</v>
      </c>
      <c r="W32" s="419">
        <f>SUM('26:25'!W32)</f>
        <v>0</v>
      </c>
      <c r="X32" s="419">
        <f>SUM('26:25'!X32)</f>
        <v>0</v>
      </c>
      <c r="Y32" s="419">
        <f>SUM('26:25'!Y32)</f>
        <v>0</v>
      </c>
      <c r="Z32" s="419">
        <f>SUM('26:25'!Z32)</f>
        <v>0</v>
      </c>
      <c r="AA32" s="419">
        <f>SUM('26:25'!AA32)</f>
        <v>0</v>
      </c>
      <c r="AB32" s="419">
        <f>SUM('26:25'!AB32)</f>
        <v>0</v>
      </c>
      <c r="AC32" s="419">
        <f>SUM('26:25'!AC32)</f>
        <v>0</v>
      </c>
      <c r="AD32" s="419">
        <f>SUM('26:25'!AD32)</f>
        <v>0</v>
      </c>
      <c r="AE32" s="419">
        <f>SUM('26:25'!AE32)</f>
        <v>0</v>
      </c>
      <c r="AF32" s="419">
        <f>SUM('26:25'!AF32)</f>
        <v>0</v>
      </c>
      <c r="AG32" s="419">
        <f>SUM('26:25'!AG32)</f>
        <v>0</v>
      </c>
      <c r="AH32" s="419">
        <f>SUM('26:25'!AH32)</f>
        <v>0</v>
      </c>
      <c r="AI32" s="419">
        <f>SUM('26:25'!AI32)</f>
        <v>0</v>
      </c>
      <c r="AJ32" s="419">
        <f>SUM('26:25'!AJ32)</f>
        <v>0</v>
      </c>
      <c r="AK32" s="593"/>
      <c r="AL32" s="419">
        <f>SUM('26:25'!AL32)</f>
        <v>8100</v>
      </c>
      <c r="AM32" s="419">
        <f>SUM('26:25'!AM32)</f>
        <v>2160</v>
      </c>
      <c r="AN32" s="419">
        <f>SUM('26:25'!AN32)</f>
        <v>0</v>
      </c>
      <c r="AO32" s="419">
        <f>SUM('26:25'!AO32)</f>
        <v>6300</v>
      </c>
      <c r="AP32" s="597"/>
      <c r="AQ32" s="419">
        <f>SUM('26:25'!AQ32)</f>
        <v>0</v>
      </c>
      <c r="AR32" s="419">
        <f>SUM('26:25'!AR32)</f>
        <v>0</v>
      </c>
      <c r="AS32" s="419">
        <f>SUM('26:25'!AS32)</f>
        <v>0</v>
      </c>
      <c r="AT32" s="419">
        <f>SUM('26:25'!AT32)</f>
        <v>0</v>
      </c>
      <c r="AU32" s="419">
        <f>SUM('26:25'!AU32)</f>
        <v>0</v>
      </c>
      <c r="AV32" s="419">
        <f>SUM('26:25'!AV32)</f>
        <v>0</v>
      </c>
      <c r="AW32" s="419">
        <f>SUM('26:25'!AW32)</f>
        <v>0</v>
      </c>
      <c r="AX32" s="419">
        <f>SUM('26:25'!AX32)</f>
        <v>0</v>
      </c>
      <c r="AY32" s="419">
        <f>SUM('26:25'!AY32)</f>
        <v>0</v>
      </c>
      <c r="AZ32" s="419">
        <f>SUM('26:25'!AZ32)</f>
        <v>0</v>
      </c>
      <c r="BA32" s="419">
        <f>SUM('26:25'!BA32)</f>
        <v>0</v>
      </c>
      <c r="BB32" s="419">
        <f>SUM('26:25'!BB32)</f>
        <v>0</v>
      </c>
      <c r="BC32" s="419">
        <f>SUM('26:25'!BC32)</f>
        <v>0</v>
      </c>
      <c r="BD32" s="593"/>
      <c r="BE32" s="419">
        <f>SUM('26:25'!BE32)</f>
        <v>0</v>
      </c>
      <c r="BF32" s="419">
        <f>SUM('26:25'!BF32)</f>
        <v>0</v>
      </c>
      <c r="BG32" s="419">
        <f>SUM('26:25'!BG32)</f>
        <v>0</v>
      </c>
      <c r="BH32" s="419">
        <f>SUM('26:25'!BH32)</f>
        <v>0</v>
      </c>
      <c r="BI32" s="593"/>
      <c r="BJ32" s="419">
        <f>SUM('26:25'!BJ32)</f>
        <v>0</v>
      </c>
      <c r="BK32" s="419">
        <f>SUM('26:25'!BK32)</f>
        <v>0</v>
      </c>
      <c r="BL32" s="419">
        <f>SUM('26:25'!BL32)</f>
        <v>0</v>
      </c>
      <c r="BM32" s="419">
        <f>SUM('26:25'!BM32)</f>
        <v>0</v>
      </c>
      <c r="BN32" s="419">
        <f>SUM('26:25'!BN32)</f>
        <v>0</v>
      </c>
      <c r="BO32" s="419">
        <f>SUM('26:25'!BO32)</f>
        <v>0</v>
      </c>
      <c r="BP32" s="419">
        <f>SUM('26:25'!BP32)</f>
        <v>0</v>
      </c>
      <c r="BQ32" s="419">
        <f>SUM('26:25'!BQ32)</f>
        <v>0</v>
      </c>
      <c r="BR32" s="419">
        <f>SUM('26:25'!BR32)</f>
        <v>0</v>
      </c>
      <c r="BS32" s="419">
        <f>SUM('26:25'!BS32)</f>
        <v>0</v>
      </c>
      <c r="BT32" s="419">
        <f>SUM('26:25'!BT32)</f>
        <v>0</v>
      </c>
      <c r="BU32" s="419">
        <f>SUM('26:25'!BU32)</f>
        <v>0</v>
      </c>
      <c r="BV32" s="419">
        <f>SUM('26:25'!BV32)</f>
        <v>0</v>
      </c>
      <c r="BW32" s="419">
        <f>SUM('26:25'!BW32)</f>
        <v>0</v>
      </c>
      <c r="BX32" s="819">
        <f t="shared" si="1"/>
        <v>16560</v>
      </c>
      <c r="BY32" s="30">
        <f>SUM(BY6:BY31)</f>
        <v>3388690</v>
      </c>
      <c r="BZ32" s="30">
        <f t="shared" ref="BZ32:CA32" si="2">SUM(BZ6:BZ31)</f>
        <v>1065250</v>
      </c>
      <c r="CA32" s="30">
        <f t="shared" si="2"/>
        <v>408700</v>
      </c>
    </row>
    <row r="33" spans="1:84" ht="19.5" customHeight="1">
      <c r="A33" s="418">
        <f>'BANG LUONG 1'!A34</f>
        <v>30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>
        <f>SUM('26:25'!E33)</f>
        <v>0</v>
      </c>
      <c r="F33" s="419">
        <f>SUM('26:25'!F33)</f>
        <v>0</v>
      </c>
      <c r="G33" s="419">
        <f>SUM('26:25'!G33)</f>
        <v>0</v>
      </c>
      <c r="H33" s="419">
        <f>SUM('26:25'!H33)</f>
        <v>0</v>
      </c>
      <c r="I33" s="419">
        <f>SUM('26:25'!I33)</f>
        <v>0</v>
      </c>
      <c r="J33" s="419">
        <f>SUM('26:25'!J33)</f>
        <v>0</v>
      </c>
      <c r="K33" s="419">
        <f>SUM('26:25'!K33)</f>
        <v>0</v>
      </c>
      <c r="L33" s="419">
        <f>SUM('26:25'!L33)</f>
        <v>0</v>
      </c>
      <c r="M33" s="419">
        <f>SUM('26:25'!M33)</f>
        <v>0</v>
      </c>
      <c r="N33" s="419">
        <f>SUM('26:25'!N33)</f>
        <v>0</v>
      </c>
      <c r="O33" s="419">
        <f>SUM('26:25'!O33)</f>
        <v>0</v>
      </c>
      <c r="P33" s="419">
        <f>SUM('26:25'!P33)</f>
        <v>0</v>
      </c>
      <c r="Q33" s="419">
        <f>SUM('26:25'!Q33)</f>
        <v>0</v>
      </c>
      <c r="R33" s="419">
        <f>SUM('26:25'!R33)</f>
        <v>0</v>
      </c>
      <c r="S33" s="419">
        <f>SUM('26:25'!S33)</f>
        <v>0</v>
      </c>
      <c r="T33" s="419">
        <f>SUM('26:25'!T33)</f>
        <v>0</v>
      </c>
      <c r="U33" s="593"/>
      <c r="V33" s="419">
        <f>SUM('26:25'!V33)</f>
        <v>0</v>
      </c>
      <c r="W33" s="419">
        <f>SUM('26:25'!W33)</f>
        <v>0</v>
      </c>
      <c r="X33" s="419">
        <f>SUM('26:25'!X33)</f>
        <v>0</v>
      </c>
      <c r="Y33" s="419">
        <f>SUM('26:25'!Y33)</f>
        <v>0</v>
      </c>
      <c r="Z33" s="419">
        <f>SUM('26:25'!Z33)</f>
        <v>0</v>
      </c>
      <c r="AA33" s="419">
        <f>SUM('26:25'!AA33)</f>
        <v>0</v>
      </c>
      <c r="AB33" s="419">
        <f>SUM('26:25'!AB33)</f>
        <v>0</v>
      </c>
      <c r="AC33" s="419">
        <f>SUM('26:25'!AC33)</f>
        <v>0</v>
      </c>
      <c r="AD33" s="419">
        <f>SUM('26:25'!AD33)</f>
        <v>0</v>
      </c>
      <c r="AE33" s="419">
        <f>SUM('26:25'!AE33)</f>
        <v>0</v>
      </c>
      <c r="AF33" s="419">
        <f>SUM('26:25'!AF33)</f>
        <v>0</v>
      </c>
      <c r="AG33" s="419">
        <f>SUM('26:25'!AG33)</f>
        <v>0</v>
      </c>
      <c r="AH33" s="419">
        <f>SUM('26:25'!AH33)</f>
        <v>0</v>
      </c>
      <c r="AI33" s="419">
        <f>SUM('26:25'!AI33)</f>
        <v>0</v>
      </c>
      <c r="AJ33" s="419">
        <f>SUM('26:25'!AJ33)</f>
        <v>0</v>
      </c>
      <c r="AK33" s="593"/>
      <c r="AL33" s="419">
        <f>SUM('26:25'!AL33)</f>
        <v>0</v>
      </c>
      <c r="AM33" s="419">
        <f>SUM('26:25'!AM33)</f>
        <v>0</v>
      </c>
      <c r="AN33" s="419">
        <f>SUM('26:25'!AN33)</f>
        <v>0</v>
      </c>
      <c r="AO33" s="419">
        <f>SUM('26:25'!AO33)</f>
        <v>0</v>
      </c>
      <c r="AP33" s="597"/>
      <c r="AQ33" s="419">
        <f>SUM('26:25'!AQ33)</f>
        <v>0</v>
      </c>
      <c r="AR33" s="419">
        <f>SUM('26:25'!AR33)</f>
        <v>0</v>
      </c>
      <c r="AS33" s="419">
        <f>SUM('26:25'!AS33)</f>
        <v>0</v>
      </c>
      <c r="AT33" s="419">
        <f>SUM('26:25'!AT33)</f>
        <v>0</v>
      </c>
      <c r="AU33" s="419">
        <f>SUM('26:25'!AU33)</f>
        <v>0</v>
      </c>
      <c r="AV33" s="419">
        <f>SUM('26:25'!AV33)</f>
        <v>0</v>
      </c>
      <c r="AW33" s="419">
        <f>SUM('26:25'!AW33)</f>
        <v>0</v>
      </c>
      <c r="AX33" s="419">
        <f>SUM('26:25'!AX33)</f>
        <v>0</v>
      </c>
      <c r="AY33" s="419">
        <f>SUM('26:25'!AY33)</f>
        <v>0</v>
      </c>
      <c r="AZ33" s="419">
        <f>SUM('26:25'!AZ33)</f>
        <v>0</v>
      </c>
      <c r="BA33" s="419">
        <f>SUM('26:25'!BA33)</f>
        <v>0</v>
      </c>
      <c r="BB33" s="419">
        <f>SUM('26:25'!BB33)</f>
        <v>0</v>
      </c>
      <c r="BC33" s="419">
        <f>SUM('26:25'!BC33)</f>
        <v>0</v>
      </c>
      <c r="BD33" s="593"/>
      <c r="BE33" s="419">
        <f>SUM('26:25'!BE33)</f>
        <v>0</v>
      </c>
      <c r="BF33" s="419">
        <f>SUM('26:25'!BF33)</f>
        <v>0</v>
      </c>
      <c r="BG33" s="419">
        <f>SUM('26:25'!BG33)</f>
        <v>0</v>
      </c>
      <c r="BH33" s="419">
        <f>SUM('26:25'!BH33)</f>
        <v>0</v>
      </c>
      <c r="BI33" s="593"/>
      <c r="BJ33" s="419">
        <f>SUM('26:25'!BJ33)</f>
        <v>0</v>
      </c>
      <c r="BK33" s="419">
        <f>SUM('26:25'!BK33)</f>
        <v>0</v>
      </c>
      <c r="BL33" s="419">
        <f>SUM('26:25'!BL33)</f>
        <v>0</v>
      </c>
      <c r="BM33" s="419">
        <f>SUM('26:25'!BM33)</f>
        <v>0</v>
      </c>
      <c r="BN33" s="419">
        <f>SUM('26:25'!BN33)</f>
        <v>0</v>
      </c>
      <c r="BO33" s="419">
        <f>SUM('26:25'!BO33)</f>
        <v>0</v>
      </c>
      <c r="BP33" s="419">
        <f>SUM('26:25'!BP33)</f>
        <v>0</v>
      </c>
      <c r="BQ33" s="419">
        <f>SUM('26:25'!BQ33)</f>
        <v>0</v>
      </c>
      <c r="BR33" s="419">
        <f>SUM('26:25'!BR33)</f>
        <v>0</v>
      </c>
      <c r="BS33" s="419">
        <f>SUM('26:25'!BS33)</f>
        <v>0</v>
      </c>
      <c r="BT33" s="419">
        <f>SUM('26:25'!BT33)</f>
        <v>0</v>
      </c>
      <c r="BU33" s="419">
        <f>SUM('26:25'!BU33)</f>
        <v>0</v>
      </c>
      <c r="BV33" s="419">
        <f>SUM('26:25'!BV33)</f>
        <v>0</v>
      </c>
      <c r="BW33" s="419">
        <f>SUM('26:25'!BW33)</f>
        <v>0</v>
      </c>
      <c r="BX33" s="819">
        <f t="shared" si="1"/>
        <v>0</v>
      </c>
      <c r="BY33" s="30">
        <v>3388670</v>
      </c>
      <c r="BZ33" s="30">
        <v>1065370</v>
      </c>
      <c r="CA33" s="30">
        <v>0</v>
      </c>
      <c r="CB33" s="30">
        <v>409060</v>
      </c>
      <c r="CD33" s="74"/>
      <c r="CE33" s="74"/>
      <c r="CF33" s="74"/>
    </row>
    <row r="34" spans="1:84" s="54" customFormat="1" ht="19.5" customHeight="1">
      <c r="A34" s="418">
        <f>'BANG LUONG 1'!A35</f>
        <v>31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>
        <f>SUM('26:25'!E34)</f>
        <v>0</v>
      </c>
      <c r="F34" s="419">
        <f>SUM('26:25'!F34)</f>
        <v>0</v>
      </c>
      <c r="G34" s="419">
        <f>SUM('26:25'!G34)</f>
        <v>0</v>
      </c>
      <c r="H34" s="419">
        <f>SUM('26:25'!H34)</f>
        <v>0</v>
      </c>
      <c r="I34" s="419">
        <f>SUM('26:25'!I34)</f>
        <v>0</v>
      </c>
      <c r="J34" s="419">
        <f>SUM('26:25'!J34)</f>
        <v>0</v>
      </c>
      <c r="K34" s="419">
        <f>SUM('26:25'!K34)</f>
        <v>0</v>
      </c>
      <c r="L34" s="419">
        <f>SUM('26:25'!L34)</f>
        <v>0</v>
      </c>
      <c r="M34" s="419">
        <f>SUM('26:25'!M34)</f>
        <v>0</v>
      </c>
      <c r="N34" s="419">
        <f>SUM('26:25'!N34)</f>
        <v>0</v>
      </c>
      <c r="O34" s="419">
        <f>SUM('26:25'!O34)</f>
        <v>0</v>
      </c>
      <c r="P34" s="419">
        <f>SUM('26:25'!P34)</f>
        <v>0</v>
      </c>
      <c r="Q34" s="419">
        <f>SUM('26:25'!Q34)</f>
        <v>0</v>
      </c>
      <c r="R34" s="419">
        <f>SUM('26:25'!R34)</f>
        <v>0</v>
      </c>
      <c r="S34" s="419">
        <f>SUM('26:25'!S34)</f>
        <v>0</v>
      </c>
      <c r="T34" s="419">
        <f>SUM('26:25'!T34)</f>
        <v>0</v>
      </c>
      <c r="U34" s="593"/>
      <c r="V34" s="419">
        <f>SUM('26:25'!V34)</f>
        <v>0</v>
      </c>
      <c r="W34" s="419">
        <f>SUM('26:25'!W34)</f>
        <v>0</v>
      </c>
      <c r="X34" s="419">
        <f>SUM('26:25'!X34)</f>
        <v>0</v>
      </c>
      <c r="Y34" s="419">
        <f>SUM('26:25'!Y34)</f>
        <v>0</v>
      </c>
      <c r="Z34" s="419">
        <f>SUM('26:25'!Z34)</f>
        <v>0</v>
      </c>
      <c r="AA34" s="419">
        <f>SUM('26:25'!AA34)</f>
        <v>0</v>
      </c>
      <c r="AB34" s="419">
        <f>SUM('26:25'!AB34)</f>
        <v>0</v>
      </c>
      <c r="AC34" s="419">
        <f>SUM('26:25'!AC34)</f>
        <v>0</v>
      </c>
      <c r="AD34" s="419">
        <f>SUM('26:25'!AD34)</f>
        <v>0</v>
      </c>
      <c r="AE34" s="419">
        <f>SUM('26:25'!AE34)</f>
        <v>0</v>
      </c>
      <c r="AF34" s="419">
        <f>SUM('26:25'!AF34)</f>
        <v>0</v>
      </c>
      <c r="AG34" s="419">
        <f>SUM('26:25'!AG34)</f>
        <v>0</v>
      </c>
      <c r="AH34" s="419">
        <f>SUM('26:25'!AH34)</f>
        <v>0</v>
      </c>
      <c r="AI34" s="419">
        <f>SUM('26:25'!AI34)</f>
        <v>0</v>
      </c>
      <c r="AJ34" s="419">
        <f>SUM('26:25'!AJ34)</f>
        <v>0</v>
      </c>
      <c r="AK34" s="593"/>
      <c r="AL34" s="419">
        <f>SUM('26:25'!AL34)</f>
        <v>0</v>
      </c>
      <c r="AM34" s="419">
        <f>SUM('26:25'!AM34)</f>
        <v>0</v>
      </c>
      <c r="AN34" s="419">
        <f>SUM('26:25'!AN34)</f>
        <v>0</v>
      </c>
      <c r="AO34" s="419">
        <f>SUM('26:25'!AO34)</f>
        <v>0</v>
      </c>
      <c r="AP34" s="597"/>
      <c r="AQ34" s="419">
        <f>SUM('26:25'!AQ34)</f>
        <v>0</v>
      </c>
      <c r="AR34" s="419">
        <f>SUM('26:25'!AR34)</f>
        <v>0</v>
      </c>
      <c r="AS34" s="419">
        <f>SUM('26:25'!AS34)</f>
        <v>0</v>
      </c>
      <c r="AT34" s="419">
        <f>SUM('26:25'!AT34)</f>
        <v>0</v>
      </c>
      <c r="AU34" s="419">
        <f>SUM('26:25'!AU34)</f>
        <v>0</v>
      </c>
      <c r="AV34" s="419">
        <f>SUM('26:25'!AV34)</f>
        <v>0</v>
      </c>
      <c r="AW34" s="419">
        <f>SUM('26:25'!AW34)</f>
        <v>0</v>
      </c>
      <c r="AX34" s="419">
        <f>SUM('26:25'!AX34)</f>
        <v>0</v>
      </c>
      <c r="AY34" s="419">
        <f>SUM('26:25'!AY34)</f>
        <v>0</v>
      </c>
      <c r="AZ34" s="419">
        <f>SUM('26:25'!AZ34)</f>
        <v>0</v>
      </c>
      <c r="BA34" s="419">
        <f>SUM('26:25'!BA34)</f>
        <v>0</v>
      </c>
      <c r="BB34" s="419">
        <f>SUM('26:25'!BB34)</f>
        <v>0</v>
      </c>
      <c r="BC34" s="419">
        <f>SUM('26:25'!BC34)</f>
        <v>0</v>
      </c>
      <c r="BD34" s="593"/>
      <c r="BE34" s="419">
        <f>SUM('26:25'!BE34)</f>
        <v>0</v>
      </c>
      <c r="BF34" s="419">
        <f>SUM('26:25'!BF34)</f>
        <v>0</v>
      </c>
      <c r="BG34" s="419">
        <f>SUM('26:25'!BG34)</f>
        <v>0</v>
      </c>
      <c r="BH34" s="419">
        <f>SUM('26:25'!BH34)</f>
        <v>0</v>
      </c>
      <c r="BI34" s="593"/>
      <c r="BJ34" s="419">
        <f>SUM('26:25'!BJ34)</f>
        <v>0</v>
      </c>
      <c r="BK34" s="419">
        <f>SUM('26:25'!BK34)</f>
        <v>0</v>
      </c>
      <c r="BL34" s="419">
        <f>SUM('26:25'!BL34)</f>
        <v>0</v>
      </c>
      <c r="BM34" s="419">
        <f>SUM('26:25'!BM34)</f>
        <v>0</v>
      </c>
      <c r="BN34" s="419">
        <f>SUM('26:25'!BN34)</f>
        <v>0</v>
      </c>
      <c r="BO34" s="419">
        <f>SUM('26:25'!BO34)</f>
        <v>0</v>
      </c>
      <c r="BP34" s="419">
        <f>SUM('26:25'!BP34)</f>
        <v>0</v>
      </c>
      <c r="BQ34" s="419">
        <f>SUM('26:25'!BQ34)</f>
        <v>0</v>
      </c>
      <c r="BR34" s="419">
        <f>SUM('26:25'!BR34)</f>
        <v>0</v>
      </c>
      <c r="BS34" s="419">
        <f>SUM('26:25'!BS34)</f>
        <v>0</v>
      </c>
      <c r="BT34" s="419">
        <f>SUM('26:25'!BT34)</f>
        <v>0</v>
      </c>
      <c r="BU34" s="419">
        <f>SUM('26:25'!BU34)</f>
        <v>0</v>
      </c>
      <c r="BV34" s="419">
        <f>SUM('26:25'!BV34)</f>
        <v>0</v>
      </c>
      <c r="BW34" s="419">
        <f>SUM('26:25'!BW34)</f>
        <v>0</v>
      </c>
      <c r="BX34" s="819">
        <f t="shared" si="1"/>
        <v>0</v>
      </c>
      <c r="CD34" s="74"/>
      <c r="CE34" s="74"/>
      <c r="CF34" s="74"/>
    </row>
    <row r="35" spans="1:84" s="54" customFormat="1" ht="19.5" customHeight="1">
      <c r="A35" s="418">
        <f>'BANG LUONG 1'!A36</f>
        <v>32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>
        <f>SUM('26:25'!E35)</f>
        <v>0</v>
      </c>
      <c r="F35" s="419">
        <f>SUM('26:25'!F35)</f>
        <v>0</v>
      </c>
      <c r="G35" s="419">
        <f>SUM('26:25'!G35)</f>
        <v>0</v>
      </c>
      <c r="H35" s="419">
        <f>SUM('26:25'!H35)</f>
        <v>0</v>
      </c>
      <c r="I35" s="419">
        <f>SUM('26:25'!I35)</f>
        <v>0</v>
      </c>
      <c r="J35" s="419">
        <f>SUM('26:25'!J35)</f>
        <v>0</v>
      </c>
      <c r="K35" s="419">
        <f>SUM('26:25'!K35)</f>
        <v>0</v>
      </c>
      <c r="L35" s="419">
        <f>SUM('26:25'!L35)</f>
        <v>0</v>
      </c>
      <c r="M35" s="419">
        <f>SUM('26:25'!M35)</f>
        <v>0</v>
      </c>
      <c r="N35" s="419">
        <f>SUM('26:25'!N35)</f>
        <v>0</v>
      </c>
      <c r="O35" s="419">
        <f>SUM('26:25'!O35)</f>
        <v>0</v>
      </c>
      <c r="P35" s="419">
        <f>SUM('26:25'!P35)</f>
        <v>0</v>
      </c>
      <c r="Q35" s="419">
        <f>SUM('26:25'!Q35)</f>
        <v>0</v>
      </c>
      <c r="R35" s="419">
        <f>SUM('26:25'!R35)</f>
        <v>0</v>
      </c>
      <c r="S35" s="419">
        <f>SUM('26:25'!S35)</f>
        <v>0</v>
      </c>
      <c r="T35" s="419">
        <f>SUM('26:25'!T35)</f>
        <v>0</v>
      </c>
      <c r="U35" s="593"/>
      <c r="V35" s="419">
        <f>SUM('26:25'!V35)</f>
        <v>0</v>
      </c>
      <c r="W35" s="419">
        <f>SUM('26:25'!W35)</f>
        <v>0</v>
      </c>
      <c r="X35" s="419">
        <f>SUM('26:25'!X35)</f>
        <v>0</v>
      </c>
      <c r="Y35" s="419">
        <f>SUM('26:25'!Y35)</f>
        <v>0</v>
      </c>
      <c r="Z35" s="419">
        <f>SUM('26:25'!Z35)</f>
        <v>0</v>
      </c>
      <c r="AA35" s="419">
        <f>SUM('26:25'!AA35)</f>
        <v>0</v>
      </c>
      <c r="AB35" s="419">
        <f>SUM('26:25'!AB35)</f>
        <v>0</v>
      </c>
      <c r="AC35" s="419">
        <f>SUM('26:25'!AC35)</f>
        <v>0</v>
      </c>
      <c r="AD35" s="419">
        <f>SUM('26:25'!AD35)</f>
        <v>0</v>
      </c>
      <c r="AE35" s="419">
        <f>SUM('26:25'!AE35)</f>
        <v>0</v>
      </c>
      <c r="AF35" s="419">
        <f>SUM('26:25'!AF35)</f>
        <v>0</v>
      </c>
      <c r="AG35" s="419">
        <f>SUM('26:25'!AG35)</f>
        <v>0</v>
      </c>
      <c r="AH35" s="419">
        <f>SUM('26:25'!AH35)</f>
        <v>0</v>
      </c>
      <c r="AI35" s="419">
        <f>SUM('26:25'!AI35)</f>
        <v>0</v>
      </c>
      <c r="AJ35" s="419">
        <f>SUM('26:25'!AJ35)</f>
        <v>0</v>
      </c>
      <c r="AK35" s="593"/>
      <c r="AL35" s="419">
        <f>SUM('26:25'!AL35)</f>
        <v>0</v>
      </c>
      <c r="AM35" s="419">
        <f>SUM('26:25'!AM35)</f>
        <v>0</v>
      </c>
      <c r="AN35" s="419">
        <f>SUM('26:25'!AN35)</f>
        <v>0</v>
      </c>
      <c r="AO35" s="419">
        <f>SUM('26:25'!AO35)</f>
        <v>0</v>
      </c>
      <c r="AP35" s="597"/>
      <c r="AQ35" s="419">
        <f>SUM('26:25'!AQ35)</f>
        <v>0</v>
      </c>
      <c r="AR35" s="419">
        <f>SUM('26:25'!AR35)</f>
        <v>0</v>
      </c>
      <c r="AS35" s="419">
        <f>SUM('26:25'!AS35)</f>
        <v>0</v>
      </c>
      <c r="AT35" s="419">
        <f>SUM('26:25'!AT35)</f>
        <v>0</v>
      </c>
      <c r="AU35" s="419">
        <f>SUM('26:25'!AU35)</f>
        <v>0</v>
      </c>
      <c r="AV35" s="419">
        <f>SUM('26:25'!AV35)</f>
        <v>0</v>
      </c>
      <c r="AW35" s="419">
        <f>SUM('26:25'!AW35)</f>
        <v>0</v>
      </c>
      <c r="AX35" s="419">
        <f>SUM('26:25'!AX35)</f>
        <v>0</v>
      </c>
      <c r="AY35" s="419">
        <f>SUM('26:25'!AY35)</f>
        <v>0</v>
      </c>
      <c r="AZ35" s="419">
        <f>SUM('26:25'!AZ35)</f>
        <v>0</v>
      </c>
      <c r="BA35" s="419">
        <f>SUM('26:25'!BA35)</f>
        <v>0</v>
      </c>
      <c r="BB35" s="419">
        <f>SUM('26:25'!BB35)</f>
        <v>0</v>
      </c>
      <c r="BC35" s="419">
        <f>SUM('26:25'!BC35)</f>
        <v>0</v>
      </c>
      <c r="BD35" s="593"/>
      <c r="BE35" s="419">
        <f>SUM('26:25'!BE35)</f>
        <v>0</v>
      </c>
      <c r="BF35" s="419">
        <f>SUM('26:25'!BF35)</f>
        <v>0</v>
      </c>
      <c r="BG35" s="419">
        <f>SUM('26:25'!BG35)</f>
        <v>0</v>
      </c>
      <c r="BH35" s="419">
        <f>SUM('26:25'!BH35)</f>
        <v>0</v>
      </c>
      <c r="BI35" s="593"/>
      <c r="BJ35" s="419">
        <f>SUM('26:25'!BJ35)</f>
        <v>0</v>
      </c>
      <c r="BK35" s="419">
        <f>SUM('26:25'!BK35)</f>
        <v>0</v>
      </c>
      <c r="BL35" s="419">
        <f>SUM('26:25'!BL35)</f>
        <v>0</v>
      </c>
      <c r="BM35" s="419">
        <f>SUM('26:25'!BM35)</f>
        <v>0</v>
      </c>
      <c r="BN35" s="419">
        <f>SUM('26:25'!BN35)</f>
        <v>0</v>
      </c>
      <c r="BO35" s="419">
        <f>SUM('26:25'!BO35)</f>
        <v>0</v>
      </c>
      <c r="BP35" s="419">
        <f>SUM('26:25'!BP35)</f>
        <v>0</v>
      </c>
      <c r="BQ35" s="419">
        <f>SUM('26:25'!BQ35)</f>
        <v>0</v>
      </c>
      <c r="BR35" s="419">
        <f>SUM('26:25'!BR35)</f>
        <v>0</v>
      </c>
      <c r="BS35" s="419">
        <f>SUM('26:25'!BS35)</f>
        <v>0</v>
      </c>
      <c r="BT35" s="419">
        <f>SUM('26:25'!BT35)</f>
        <v>0</v>
      </c>
      <c r="BU35" s="419">
        <f>SUM('26:25'!BU35)</f>
        <v>0</v>
      </c>
      <c r="BV35" s="419">
        <f>SUM('26:25'!BV35)</f>
        <v>0</v>
      </c>
      <c r="BW35" s="419">
        <f>SUM('26:25'!BW35)</f>
        <v>0</v>
      </c>
      <c r="BX35" s="819">
        <f t="shared" si="1"/>
        <v>0</v>
      </c>
      <c r="CD35" s="74"/>
      <c r="CE35" s="74"/>
      <c r="CF35" s="74"/>
    </row>
    <row r="36" spans="1:84" ht="19.5" customHeight="1">
      <c r="A36" s="418">
        <f>'BANG LUONG 1'!A37</f>
        <v>33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>
        <f>SUM('26:25'!E36)</f>
        <v>0</v>
      </c>
      <c r="F36" s="419">
        <f>SUM('26:25'!F36)</f>
        <v>0</v>
      </c>
      <c r="G36" s="419">
        <f>SUM('26:25'!G36)</f>
        <v>0</v>
      </c>
      <c r="H36" s="419">
        <f>SUM('26:25'!H36)</f>
        <v>0</v>
      </c>
      <c r="I36" s="419">
        <f>SUM('26:25'!I36)</f>
        <v>0</v>
      </c>
      <c r="J36" s="419">
        <f>SUM('26:25'!J36)</f>
        <v>0</v>
      </c>
      <c r="K36" s="419">
        <f>SUM('26:25'!K36)</f>
        <v>0</v>
      </c>
      <c r="L36" s="419">
        <f>SUM('26:25'!L36)</f>
        <v>0</v>
      </c>
      <c r="M36" s="419">
        <f>SUM('26:25'!M36)</f>
        <v>0</v>
      </c>
      <c r="N36" s="419">
        <f>SUM('26:25'!N36)</f>
        <v>0</v>
      </c>
      <c r="O36" s="419">
        <f>SUM('26:25'!O36)</f>
        <v>0</v>
      </c>
      <c r="P36" s="419">
        <f>SUM('26:25'!P36)</f>
        <v>0</v>
      </c>
      <c r="Q36" s="419">
        <f>SUM('26:25'!Q36)</f>
        <v>0</v>
      </c>
      <c r="R36" s="419">
        <f>SUM('26:25'!R36)</f>
        <v>0</v>
      </c>
      <c r="S36" s="419">
        <f>SUM('26:25'!S36)</f>
        <v>0</v>
      </c>
      <c r="T36" s="419">
        <f>SUM('26:25'!T36)</f>
        <v>0</v>
      </c>
      <c r="U36" s="593"/>
      <c r="V36" s="419">
        <f>SUM('26:25'!V36)</f>
        <v>0</v>
      </c>
      <c r="W36" s="419">
        <f>SUM('26:25'!W36)</f>
        <v>0</v>
      </c>
      <c r="X36" s="419">
        <f>SUM('26:25'!X36)</f>
        <v>0</v>
      </c>
      <c r="Y36" s="419">
        <f>SUM('26:25'!Y36)</f>
        <v>0</v>
      </c>
      <c r="Z36" s="419">
        <f>SUM('26:25'!Z36)</f>
        <v>0</v>
      </c>
      <c r="AA36" s="419">
        <f>SUM('26:25'!AA36)</f>
        <v>0</v>
      </c>
      <c r="AB36" s="419">
        <f>SUM('26:25'!AB36)</f>
        <v>0</v>
      </c>
      <c r="AC36" s="419">
        <f>SUM('26:25'!AC36)</f>
        <v>0</v>
      </c>
      <c r="AD36" s="419">
        <f>SUM('26:25'!AD36)</f>
        <v>0</v>
      </c>
      <c r="AE36" s="419">
        <f>SUM('26:25'!AE36)</f>
        <v>0</v>
      </c>
      <c r="AF36" s="419">
        <f>SUM('26:25'!AF36)</f>
        <v>0</v>
      </c>
      <c r="AG36" s="419">
        <f>SUM('26:25'!AG36)</f>
        <v>0</v>
      </c>
      <c r="AH36" s="419">
        <f>SUM('26:25'!AH36)</f>
        <v>0</v>
      </c>
      <c r="AI36" s="419">
        <f>SUM('26:25'!AI36)</f>
        <v>0</v>
      </c>
      <c r="AJ36" s="419">
        <f>SUM('26:25'!AJ36)</f>
        <v>0</v>
      </c>
      <c r="AK36" s="593"/>
      <c r="AL36" s="419">
        <f>SUM('26:25'!AL36)</f>
        <v>0</v>
      </c>
      <c r="AM36" s="419">
        <f>SUM('26:25'!AM36)</f>
        <v>0</v>
      </c>
      <c r="AN36" s="419">
        <f>SUM('26:25'!AN36)</f>
        <v>0</v>
      </c>
      <c r="AO36" s="419">
        <f>SUM('26:25'!AO36)</f>
        <v>0</v>
      </c>
      <c r="AP36" s="597"/>
      <c r="AQ36" s="419">
        <f>SUM('26:25'!AQ36)</f>
        <v>0</v>
      </c>
      <c r="AR36" s="419">
        <f>SUM('26:25'!AR36)</f>
        <v>0</v>
      </c>
      <c r="AS36" s="419">
        <f>SUM('26:25'!AS36)</f>
        <v>0</v>
      </c>
      <c r="AT36" s="419">
        <f>SUM('26:25'!AT36)</f>
        <v>0</v>
      </c>
      <c r="AU36" s="419">
        <f>SUM('26:25'!AU36)</f>
        <v>0</v>
      </c>
      <c r="AV36" s="419">
        <f>SUM('26:25'!AV36)</f>
        <v>0</v>
      </c>
      <c r="AW36" s="419">
        <f>SUM('26:25'!AW36)</f>
        <v>0</v>
      </c>
      <c r="AX36" s="419">
        <f>SUM('26:25'!AX36)</f>
        <v>0</v>
      </c>
      <c r="AY36" s="419">
        <f>SUM('26:25'!AY36)</f>
        <v>0</v>
      </c>
      <c r="AZ36" s="419">
        <f>SUM('26:25'!AZ36)</f>
        <v>0</v>
      </c>
      <c r="BA36" s="419">
        <f>SUM('26:25'!BA36)</f>
        <v>0</v>
      </c>
      <c r="BB36" s="419">
        <f>SUM('26:25'!BB36)</f>
        <v>0</v>
      </c>
      <c r="BC36" s="419">
        <f>SUM('26:25'!BC36)</f>
        <v>0</v>
      </c>
      <c r="BD36" s="593"/>
      <c r="BE36" s="419">
        <f>SUM('26:25'!BE36)</f>
        <v>0</v>
      </c>
      <c r="BF36" s="419">
        <f>SUM('26:25'!BF36)</f>
        <v>0</v>
      </c>
      <c r="BG36" s="419">
        <f>SUM('26:25'!BG36)</f>
        <v>0</v>
      </c>
      <c r="BH36" s="419">
        <f>SUM('26:25'!BH36)</f>
        <v>0</v>
      </c>
      <c r="BI36" s="593"/>
      <c r="BJ36" s="419">
        <f>SUM('26:25'!BJ36)</f>
        <v>0</v>
      </c>
      <c r="BK36" s="419">
        <f>SUM('26:25'!BK36)</f>
        <v>0</v>
      </c>
      <c r="BL36" s="419">
        <f>SUM('26:25'!BL36)</f>
        <v>0</v>
      </c>
      <c r="BM36" s="419">
        <f>SUM('26:25'!BM36)</f>
        <v>0</v>
      </c>
      <c r="BN36" s="419">
        <f>SUM('26:25'!BN36)</f>
        <v>0</v>
      </c>
      <c r="BO36" s="419">
        <f>SUM('26:25'!BO36)</f>
        <v>0</v>
      </c>
      <c r="BP36" s="419">
        <f>SUM('26:25'!BP36)</f>
        <v>0</v>
      </c>
      <c r="BQ36" s="419">
        <f>SUM('26:25'!BQ36)</f>
        <v>0</v>
      </c>
      <c r="BR36" s="419">
        <f>SUM('26:25'!BR36)</f>
        <v>0</v>
      </c>
      <c r="BS36" s="419">
        <f>SUM('26:25'!BS36)</f>
        <v>0</v>
      </c>
      <c r="BT36" s="419">
        <f>SUM('26:25'!BT36)</f>
        <v>0</v>
      </c>
      <c r="BU36" s="419">
        <f>SUM('26:25'!BU36)</f>
        <v>0</v>
      </c>
      <c r="BV36" s="419">
        <f>SUM('26:25'!BV36)</f>
        <v>0</v>
      </c>
      <c r="BW36" s="419">
        <f>SUM('26:25'!BW36)</f>
        <v>0</v>
      </c>
      <c r="BX36" s="819">
        <f t="shared" si="1"/>
        <v>0</v>
      </c>
    </row>
    <row r="37" spans="1:84" ht="19.5" customHeight="1">
      <c r="A37" s="418">
        <f>'BANG LUONG 1'!A39</f>
        <v>34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>
        <f>SUM('26:25'!E37)</f>
        <v>0</v>
      </c>
      <c r="F37" s="419">
        <f>SUM('26:25'!F37)</f>
        <v>0</v>
      </c>
      <c r="G37" s="419">
        <f>SUM('26:25'!G37)</f>
        <v>0</v>
      </c>
      <c r="H37" s="419">
        <f>SUM('26:25'!H37)</f>
        <v>0</v>
      </c>
      <c r="I37" s="419">
        <f>SUM('26:25'!I37)</f>
        <v>0</v>
      </c>
      <c r="J37" s="419">
        <f>SUM('26:25'!J37)</f>
        <v>0</v>
      </c>
      <c r="K37" s="419">
        <f>SUM('26:25'!K37)</f>
        <v>0</v>
      </c>
      <c r="L37" s="419">
        <f>SUM('26:25'!L37)</f>
        <v>0</v>
      </c>
      <c r="M37" s="419">
        <f>SUM('26:25'!M37)</f>
        <v>0</v>
      </c>
      <c r="N37" s="419">
        <f>SUM('26:25'!N37)</f>
        <v>0</v>
      </c>
      <c r="O37" s="419">
        <f>SUM('26:25'!O37)</f>
        <v>0</v>
      </c>
      <c r="P37" s="419">
        <f>SUM('26:25'!P37)</f>
        <v>0</v>
      </c>
      <c r="Q37" s="419">
        <f>SUM('26:25'!Q37)</f>
        <v>0</v>
      </c>
      <c r="R37" s="419">
        <f>SUM('26:25'!R37)</f>
        <v>0</v>
      </c>
      <c r="S37" s="419">
        <f>SUM('26:25'!S37)</f>
        <v>0</v>
      </c>
      <c r="T37" s="419">
        <f>SUM('26:25'!T37)</f>
        <v>0</v>
      </c>
      <c r="U37" s="593"/>
      <c r="V37" s="419">
        <f>SUM('26:25'!V37)</f>
        <v>0</v>
      </c>
      <c r="W37" s="419">
        <f>SUM('26:25'!W37)</f>
        <v>0</v>
      </c>
      <c r="X37" s="419">
        <f>SUM('26:25'!X37)</f>
        <v>0</v>
      </c>
      <c r="Y37" s="419">
        <f>SUM('26:25'!Y37)</f>
        <v>0</v>
      </c>
      <c r="Z37" s="419">
        <f>SUM('26:25'!Z37)</f>
        <v>0</v>
      </c>
      <c r="AA37" s="419">
        <f>SUM('26:25'!AA37)</f>
        <v>0</v>
      </c>
      <c r="AB37" s="419">
        <f>SUM('26:25'!AB37)</f>
        <v>0</v>
      </c>
      <c r="AC37" s="419">
        <f>SUM('26:25'!AC37)</f>
        <v>0</v>
      </c>
      <c r="AD37" s="419">
        <f>SUM('26:25'!AD37)</f>
        <v>0</v>
      </c>
      <c r="AE37" s="419">
        <f>SUM('26:25'!AE37)</f>
        <v>0</v>
      </c>
      <c r="AF37" s="419">
        <f>SUM('26:25'!AF37)</f>
        <v>0</v>
      </c>
      <c r="AG37" s="419">
        <f>SUM('26:25'!AG37)</f>
        <v>0</v>
      </c>
      <c r="AH37" s="419">
        <f>SUM('26:25'!AH37)</f>
        <v>0</v>
      </c>
      <c r="AI37" s="419">
        <f>SUM('26:25'!AI37)</f>
        <v>0</v>
      </c>
      <c r="AJ37" s="419">
        <f>SUM('26:25'!AJ37)</f>
        <v>0</v>
      </c>
      <c r="AK37" s="593"/>
      <c r="AL37" s="419">
        <f>SUM('26:25'!AL37)</f>
        <v>0</v>
      </c>
      <c r="AM37" s="419">
        <f>SUM('26:25'!AM37)</f>
        <v>0</v>
      </c>
      <c r="AN37" s="419">
        <f>SUM('26:25'!AN37)</f>
        <v>0</v>
      </c>
      <c r="AO37" s="419">
        <f>SUM('26:25'!AO37)</f>
        <v>0</v>
      </c>
      <c r="AP37" s="597"/>
      <c r="AQ37" s="419">
        <f>SUM('26:25'!AQ37)</f>
        <v>0</v>
      </c>
      <c r="AR37" s="419">
        <f>SUM('26:25'!AR37)</f>
        <v>0</v>
      </c>
      <c r="AS37" s="419">
        <f>SUM('26:25'!AS37)</f>
        <v>0</v>
      </c>
      <c r="AT37" s="419">
        <f>SUM('26:25'!AT37)</f>
        <v>0</v>
      </c>
      <c r="AU37" s="419">
        <f>SUM('26:25'!AU37)</f>
        <v>0</v>
      </c>
      <c r="AV37" s="419">
        <f>SUM('26:25'!AV37)</f>
        <v>0</v>
      </c>
      <c r="AW37" s="419">
        <f>SUM('26:25'!AW37)</f>
        <v>0</v>
      </c>
      <c r="AX37" s="419">
        <f>SUM('26:25'!AX37)</f>
        <v>0</v>
      </c>
      <c r="AY37" s="419">
        <f>SUM('26:25'!AY37)</f>
        <v>0</v>
      </c>
      <c r="AZ37" s="419">
        <f>SUM('26:25'!AZ37)</f>
        <v>0</v>
      </c>
      <c r="BA37" s="419">
        <f>SUM('26:25'!BA37)</f>
        <v>0</v>
      </c>
      <c r="BB37" s="419">
        <f>SUM('26:25'!BB37)</f>
        <v>0</v>
      </c>
      <c r="BC37" s="419">
        <f>SUM('26:25'!BC37)</f>
        <v>0</v>
      </c>
      <c r="BD37" s="593"/>
      <c r="BE37" s="419">
        <f>SUM('26:25'!BE37)</f>
        <v>0</v>
      </c>
      <c r="BF37" s="419">
        <f>SUM('26:25'!BF37)</f>
        <v>0</v>
      </c>
      <c r="BG37" s="419">
        <f>SUM('26:25'!BG37)</f>
        <v>0</v>
      </c>
      <c r="BH37" s="419">
        <f>SUM('26:25'!BH37)</f>
        <v>0</v>
      </c>
      <c r="BI37" s="593"/>
      <c r="BJ37" s="419">
        <f>SUM('26:25'!BJ37)</f>
        <v>0</v>
      </c>
      <c r="BK37" s="419">
        <f>SUM('26:25'!BK37)</f>
        <v>0</v>
      </c>
      <c r="BL37" s="419">
        <f>SUM('26:25'!BL37)</f>
        <v>0</v>
      </c>
      <c r="BM37" s="419">
        <f>SUM('26:25'!BM37)</f>
        <v>0</v>
      </c>
      <c r="BN37" s="419">
        <f>SUM('26:25'!BN37)</f>
        <v>0</v>
      </c>
      <c r="BO37" s="419">
        <f>SUM('26:25'!BO37)</f>
        <v>0</v>
      </c>
      <c r="BP37" s="419">
        <f>SUM('26:25'!BP37)</f>
        <v>0</v>
      </c>
      <c r="BQ37" s="419">
        <f>SUM('26:25'!BQ37)</f>
        <v>0</v>
      </c>
      <c r="BR37" s="419">
        <f>SUM('26:25'!BR37)</f>
        <v>0</v>
      </c>
      <c r="BS37" s="419">
        <f>SUM('26:25'!BS37)</f>
        <v>0</v>
      </c>
      <c r="BT37" s="419">
        <f>SUM('26:25'!BT37)</f>
        <v>0</v>
      </c>
      <c r="BU37" s="419">
        <f>SUM('26:25'!BU37)</f>
        <v>0</v>
      </c>
      <c r="BV37" s="419">
        <f>SUM('26:25'!BV37)</f>
        <v>0</v>
      </c>
      <c r="BW37" s="419">
        <f>SUM('26:25'!BW37)</f>
        <v>0</v>
      </c>
      <c r="BX37" s="819">
        <f t="shared" si="1"/>
        <v>0</v>
      </c>
    </row>
    <row r="38" spans="1:84" ht="19.5" customHeight="1">
      <c r="A38" s="418">
        <f>'BANG LUONG 1'!A40</f>
        <v>35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>
        <f>SUM('26:25'!E38)</f>
        <v>0</v>
      </c>
      <c r="F38" s="419">
        <f>SUM('26:25'!F38)</f>
        <v>0</v>
      </c>
      <c r="G38" s="419">
        <f>SUM('26:25'!G38)</f>
        <v>0</v>
      </c>
      <c r="H38" s="419">
        <f>SUM('26:25'!H38)</f>
        <v>0</v>
      </c>
      <c r="I38" s="419">
        <f>SUM('26:25'!I38)</f>
        <v>0</v>
      </c>
      <c r="J38" s="419">
        <f>SUM('26:25'!J38)</f>
        <v>0</v>
      </c>
      <c r="K38" s="419">
        <f>SUM('26:25'!K38)</f>
        <v>0</v>
      </c>
      <c r="L38" s="419">
        <f>SUM('26:25'!L38)</f>
        <v>0</v>
      </c>
      <c r="M38" s="419">
        <f>SUM('26:25'!M38)</f>
        <v>0</v>
      </c>
      <c r="N38" s="419">
        <f>SUM('26:25'!N38)</f>
        <v>0</v>
      </c>
      <c r="O38" s="419">
        <f>SUM('26:25'!O38)</f>
        <v>0</v>
      </c>
      <c r="P38" s="419">
        <f>SUM('26:25'!P38)</f>
        <v>0</v>
      </c>
      <c r="Q38" s="419">
        <f>SUM('26:25'!Q38)</f>
        <v>0</v>
      </c>
      <c r="R38" s="419">
        <f>SUM('26:25'!R38)</f>
        <v>0</v>
      </c>
      <c r="S38" s="419">
        <f>SUM('26:25'!S38)</f>
        <v>0</v>
      </c>
      <c r="T38" s="419">
        <f>SUM('26:25'!T38)</f>
        <v>0</v>
      </c>
      <c r="U38" s="593"/>
      <c r="V38" s="419">
        <f>SUM('26:25'!V38)</f>
        <v>0</v>
      </c>
      <c r="W38" s="419">
        <f>SUM('26:25'!W38)</f>
        <v>0</v>
      </c>
      <c r="X38" s="419">
        <f>SUM('26:25'!X38)</f>
        <v>0</v>
      </c>
      <c r="Y38" s="419">
        <f>SUM('26:25'!Y38)</f>
        <v>0</v>
      </c>
      <c r="Z38" s="419">
        <f>SUM('26:25'!Z38)</f>
        <v>0</v>
      </c>
      <c r="AA38" s="419">
        <f>SUM('26:25'!AA38)</f>
        <v>0</v>
      </c>
      <c r="AB38" s="419">
        <f>SUM('26:25'!AB38)</f>
        <v>0</v>
      </c>
      <c r="AC38" s="419">
        <f>SUM('26:25'!AC38)</f>
        <v>0</v>
      </c>
      <c r="AD38" s="419">
        <f>SUM('26:25'!AD38)</f>
        <v>0</v>
      </c>
      <c r="AE38" s="419">
        <f>SUM('26:25'!AE38)</f>
        <v>0</v>
      </c>
      <c r="AF38" s="419">
        <f>SUM('26:25'!AF38)</f>
        <v>0</v>
      </c>
      <c r="AG38" s="419">
        <f>SUM('26:25'!AG38)</f>
        <v>0</v>
      </c>
      <c r="AH38" s="419">
        <f>SUM('26:25'!AH38)</f>
        <v>0</v>
      </c>
      <c r="AI38" s="419">
        <f>SUM('26:25'!AI38)</f>
        <v>0</v>
      </c>
      <c r="AJ38" s="419">
        <f>SUM('26:25'!AJ38)</f>
        <v>0</v>
      </c>
      <c r="AK38" s="593"/>
      <c r="AL38" s="419">
        <f>SUM('26:25'!AL38)</f>
        <v>0</v>
      </c>
      <c r="AM38" s="419">
        <f>SUM('26:25'!AM38)</f>
        <v>0</v>
      </c>
      <c r="AN38" s="419">
        <f>SUM('26:25'!AN38)</f>
        <v>0</v>
      </c>
      <c r="AO38" s="419">
        <f>SUM('26:25'!AO38)</f>
        <v>0</v>
      </c>
      <c r="AP38" s="597"/>
      <c r="AQ38" s="419">
        <f>SUM('26:25'!AQ38)</f>
        <v>0</v>
      </c>
      <c r="AR38" s="419">
        <f>SUM('26:25'!AR38)</f>
        <v>0</v>
      </c>
      <c r="AS38" s="419">
        <f>SUM('26:25'!AS38)</f>
        <v>0</v>
      </c>
      <c r="AT38" s="419">
        <f>SUM('26:25'!AT38)</f>
        <v>0</v>
      </c>
      <c r="AU38" s="419">
        <f>SUM('26:25'!AU38)</f>
        <v>0</v>
      </c>
      <c r="AV38" s="419">
        <f>SUM('26:25'!AV38)</f>
        <v>0</v>
      </c>
      <c r="AW38" s="419">
        <f>SUM('26:25'!AW38)</f>
        <v>0</v>
      </c>
      <c r="AX38" s="419">
        <f>SUM('26:25'!AX38)</f>
        <v>0</v>
      </c>
      <c r="AY38" s="419">
        <f>SUM('26:25'!AY38)</f>
        <v>0</v>
      </c>
      <c r="AZ38" s="419">
        <f>SUM('26:25'!AZ38)</f>
        <v>0</v>
      </c>
      <c r="BA38" s="419">
        <f>SUM('26:25'!BA38)</f>
        <v>0</v>
      </c>
      <c r="BB38" s="419">
        <f>SUM('26:25'!BB38)</f>
        <v>0</v>
      </c>
      <c r="BC38" s="419">
        <f>SUM('26:25'!BC38)</f>
        <v>0</v>
      </c>
      <c r="BD38" s="593"/>
      <c r="BE38" s="419">
        <f>SUM('26:25'!BE38)</f>
        <v>0</v>
      </c>
      <c r="BF38" s="419">
        <f>SUM('26:25'!BF38)</f>
        <v>0</v>
      </c>
      <c r="BG38" s="419">
        <f>SUM('26:25'!BG38)</f>
        <v>0</v>
      </c>
      <c r="BH38" s="419">
        <f>SUM('26:25'!BH38)</f>
        <v>0</v>
      </c>
      <c r="BI38" s="593"/>
      <c r="BJ38" s="419">
        <f>SUM('26:25'!BJ38)</f>
        <v>0</v>
      </c>
      <c r="BK38" s="419">
        <f>SUM('26:25'!BK38)</f>
        <v>0</v>
      </c>
      <c r="BL38" s="419">
        <f>SUM('26:25'!BL38)</f>
        <v>0</v>
      </c>
      <c r="BM38" s="419">
        <f>SUM('26:25'!BM38)</f>
        <v>0</v>
      </c>
      <c r="BN38" s="419">
        <f>SUM('26:25'!BN38)</f>
        <v>0</v>
      </c>
      <c r="BO38" s="419">
        <f>SUM('26:25'!BO38)</f>
        <v>0</v>
      </c>
      <c r="BP38" s="419">
        <f>SUM('26:25'!BP38)</f>
        <v>0</v>
      </c>
      <c r="BQ38" s="419">
        <f>SUM('26:25'!BQ38)</f>
        <v>0</v>
      </c>
      <c r="BR38" s="419">
        <f>SUM('26:25'!BR38)</f>
        <v>0</v>
      </c>
      <c r="BS38" s="419">
        <f>SUM('26:25'!BS38)</f>
        <v>0</v>
      </c>
      <c r="BT38" s="419">
        <f>SUM('26:25'!BT38)</f>
        <v>0</v>
      </c>
      <c r="BU38" s="419">
        <f>SUM('26:25'!BU38)</f>
        <v>0</v>
      </c>
      <c r="BV38" s="419">
        <f>SUM('26:25'!BV38)</f>
        <v>0</v>
      </c>
      <c r="BW38" s="419">
        <f>SUM('26:25'!BW38)</f>
        <v>0</v>
      </c>
      <c r="BX38" s="819">
        <f t="shared" si="1"/>
        <v>0</v>
      </c>
    </row>
    <row r="39" spans="1:84" ht="19.5" customHeight="1">
      <c r="A39" s="418">
        <f>'BANG LUONG 1'!A41</f>
        <v>37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>
        <f>SUM('26:25'!E39)</f>
        <v>0</v>
      </c>
      <c r="F39" s="419">
        <f>SUM('26:25'!F39)</f>
        <v>0</v>
      </c>
      <c r="G39" s="419">
        <f>SUM('26:25'!G39)</f>
        <v>0</v>
      </c>
      <c r="H39" s="419">
        <f>SUM('26:25'!H39)</f>
        <v>0</v>
      </c>
      <c r="I39" s="419">
        <f>SUM('26:25'!I39)</f>
        <v>0</v>
      </c>
      <c r="J39" s="419">
        <f>SUM('26:25'!J39)</f>
        <v>0</v>
      </c>
      <c r="K39" s="419">
        <f>SUM('26:25'!K39)</f>
        <v>0</v>
      </c>
      <c r="L39" s="419">
        <f>SUM('26:25'!L39)</f>
        <v>0</v>
      </c>
      <c r="M39" s="419">
        <f>SUM('26:25'!M39)</f>
        <v>0</v>
      </c>
      <c r="N39" s="419">
        <f>SUM('26:25'!N39)</f>
        <v>0</v>
      </c>
      <c r="O39" s="419">
        <f>SUM('26:25'!O39)</f>
        <v>0</v>
      </c>
      <c r="P39" s="419">
        <f>SUM('26:25'!P39)</f>
        <v>0</v>
      </c>
      <c r="Q39" s="419">
        <f>SUM('26:25'!Q39)</f>
        <v>0</v>
      </c>
      <c r="R39" s="419">
        <f>SUM('26:25'!R39)</f>
        <v>0</v>
      </c>
      <c r="S39" s="419">
        <f>SUM('26:25'!S39)</f>
        <v>0</v>
      </c>
      <c r="T39" s="419">
        <f>SUM('26:25'!T39)</f>
        <v>0</v>
      </c>
      <c r="U39" s="593"/>
      <c r="V39" s="419">
        <f>SUM('26:25'!V39)</f>
        <v>0</v>
      </c>
      <c r="W39" s="419">
        <f>SUM('26:25'!W39)</f>
        <v>0</v>
      </c>
      <c r="X39" s="419">
        <f>SUM('26:25'!X39)</f>
        <v>0</v>
      </c>
      <c r="Y39" s="419">
        <f>SUM('26:25'!Y39)</f>
        <v>0</v>
      </c>
      <c r="Z39" s="419">
        <f>SUM('26:25'!Z39)</f>
        <v>0</v>
      </c>
      <c r="AA39" s="419">
        <f>SUM('26:25'!AA39)</f>
        <v>0</v>
      </c>
      <c r="AB39" s="419">
        <f>SUM('26:25'!AB39)</f>
        <v>0</v>
      </c>
      <c r="AC39" s="419">
        <f>SUM('26:25'!AC39)</f>
        <v>0</v>
      </c>
      <c r="AD39" s="419">
        <f>SUM('26:25'!AD39)</f>
        <v>0</v>
      </c>
      <c r="AE39" s="419">
        <f>SUM('26:25'!AE39)</f>
        <v>0</v>
      </c>
      <c r="AF39" s="419">
        <f>SUM('26:25'!AF39)</f>
        <v>0</v>
      </c>
      <c r="AG39" s="419">
        <f>SUM('26:25'!AG39)</f>
        <v>0</v>
      </c>
      <c r="AH39" s="419">
        <f>SUM('26:25'!AH39)</f>
        <v>0</v>
      </c>
      <c r="AI39" s="419">
        <f>SUM('26:25'!AI39)</f>
        <v>0</v>
      </c>
      <c r="AJ39" s="419">
        <f>SUM('26:25'!AJ39)</f>
        <v>0</v>
      </c>
      <c r="AK39" s="593"/>
      <c r="AL39" s="419">
        <f>SUM('26:25'!AL39)</f>
        <v>0</v>
      </c>
      <c r="AM39" s="419">
        <f>SUM('26:25'!AM39)</f>
        <v>0</v>
      </c>
      <c r="AN39" s="419">
        <f>SUM('26:25'!AN39)</f>
        <v>0</v>
      </c>
      <c r="AO39" s="419">
        <f>SUM('26:25'!AO39)</f>
        <v>0</v>
      </c>
      <c r="AP39" s="597"/>
      <c r="AQ39" s="419">
        <f>SUM('26:25'!AQ39)</f>
        <v>0</v>
      </c>
      <c r="AR39" s="419">
        <f>SUM('26:25'!AR39)</f>
        <v>0</v>
      </c>
      <c r="AS39" s="419">
        <f>SUM('26:25'!AS39)</f>
        <v>0</v>
      </c>
      <c r="AT39" s="419">
        <f>SUM('26:25'!AT39)</f>
        <v>0</v>
      </c>
      <c r="AU39" s="419">
        <f>SUM('26:25'!AU39)</f>
        <v>0</v>
      </c>
      <c r="AV39" s="419">
        <f>SUM('26:25'!AV39)</f>
        <v>0</v>
      </c>
      <c r="AW39" s="419">
        <f>SUM('26:25'!AW39)</f>
        <v>0</v>
      </c>
      <c r="AX39" s="419">
        <f>SUM('26:25'!AX39)</f>
        <v>0</v>
      </c>
      <c r="AY39" s="419">
        <f>SUM('26:25'!AY39)</f>
        <v>0</v>
      </c>
      <c r="AZ39" s="419">
        <f>SUM('26:25'!AZ39)</f>
        <v>0</v>
      </c>
      <c r="BA39" s="419">
        <f>SUM('26:25'!BA39)</f>
        <v>0</v>
      </c>
      <c r="BB39" s="419">
        <f>SUM('26:25'!BB39)</f>
        <v>0</v>
      </c>
      <c r="BC39" s="419">
        <f>SUM('26:25'!BC39)</f>
        <v>0</v>
      </c>
      <c r="BD39" s="593"/>
      <c r="BE39" s="419">
        <f>SUM('26:25'!BE39)</f>
        <v>0</v>
      </c>
      <c r="BF39" s="419">
        <f>SUM('26:25'!BF39)</f>
        <v>0</v>
      </c>
      <c r="BG39" s="419">
        <f>SUM('26:25'!BG39)</f>
        <v>0</v>
      </c>
      <c r="BH39" s="419">
        <f>SUM('26:25'!BH39)</f>
        <v>0</v>
      </c>
      <c r="BI39" s="593"/>
      <c r="BJ39" s="419">
        <f>SUM('26:25'!BJ39)</f>
        <v>0</v>
      </c>
      <c r="BK39" s="419">
        <f>SUM('26:25'!BK39)</f>
        <v>0</v>
      </c>
      <c r="BL39" s="419">
        <f>SUM('26:25'!BL39)</f>
        <v>0</v>
      </c>
      <c r="BM39" s="419">
        <f>SUM('26:25'!BM39)</f>
        <v>0</v>
      </c>
      <c r="BN39" s="419">
        <f>SUM('26:25'!BN39)</f>
        <v>0</v>
      </c>
      <c r="BO39" s="419">
        <f>SUM('26:25'!BO39)</f>
        <v>0</v>
      </c>
      <c r="BP39" s="419">
        <f>SUM('26:25'!BP39)</f>
        <v>0</v>
      </c>
      <c r="BQ39" s="419">
        <f>SUM('26:25'!BQ39)</f>
        <v>0</v>
      </c>
      <c r="BR39" s="419">
        <f>SUM('26:25'!BR39)</f>
        <v>0</v>
      </c>
      <c r="BS39" s="419">
        <f>SUM('26:25'!BS39)</f>
        <v>0</v>
      </c>
      <c r="BT39" s="419">
        <f>SUM('26:25'!BT39)</f>
        <v>0</v>
      </c>
      <c r="BU39" s="419">
        <f>SUM('26:25'!BU39)</f>
        <v>0</v>
      </c>
      <c r="BV39" s="419">
        <f>SUM('26:25'!BV39)</f>
        <v>0</v>
      </c>
      <c r="BW39" s="419">
        <f>SUM('26:25'!BW39)</f>
        <v>0</v>
      </c>
      <c r="BX39" s="819">
        <f t="shared" si="1"/>
        <v>0</v>
      </c>
    </row>
    <row r="40" spans="1:84" ht="19.5" customHeight="1">
      <c r="A40" s="418">
        <f>'BANG LUONG 1'!A42</f>
        <v>39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>
        <f>SUM('26:25'!E40)</f>
        <v>0</v>
      </c>
      <c r="F40" s="419">
        <f>SUM('26:25'!F40)</f>
        <v>0</v>
      </c>
      <c r="G40" s="419">
        <f>SUM('26:25'!G40)</f>
        <v>0</v>
      </c>
      <c r="H40" s="419">
        <f>SUM('26:25'!H40)</f>
        <v>0</v>
      </c>
      <c r="I40" s="419">
        <f>SUM('26:25'!I40)</f>
        <v>0</v>
      </c>
      <c r="J40" s="419">
        <f>SUM('26:25'!J40)</f>
        <v>0</v>
      </c>
      <c r="K40" s="419">
        <f>SUM('26:25'!K40)</f>
        <v>0</v>
      </c>
      <c r="L40" s="419">
        <f>SUM('26:25'!L40)</f>
        <v>0</v>
      </c>
      <c r="M40" s="419">
        <f>SUM('26:25'!M40)</f>
        <v>0</v>
      </c>
      <c r="N40" s="419">
        <f>SUM('26:25'!N40)</f>
        <v>0</v>
      </c>
      <c r="O40" s="419">
        <f>SUM('26:25'!O40)</f>
        <v>0</v>
      </c>
      <c r="P40" s="419">
        <f>SUM('26:25'!P40)</f>
        <v>0</v>
      </c>
      <c r="Q40" s="419">
        <f>SUM('26:25'!Q40)</f>
        <v>0</v>
      </c>
      <c r="R40" s="419">
        <f>SUM('26:25'!R40)</f>
        <v>0</v>
      </c>
      <c r="S40" s="419">
        <f>SUM('26:25'!S40)</f>
        <v>0</v>
      </c>
      <c r="T40" s="419">
        <f>SUM('26:25'!T40)</f>
        <v>0</v>
      </c>
      <c r="U40" s="593"/>
      <c r="V40" s="419">
        <f>SUM('26:25'!V40)</f>
        <v>0</v>
      </c>
      <c r="W40" s="419">
        <f>SUM('26:25'!W40)</f>
        <v>0</v>
      </c>
      <c r="X40" s="419">
        <f>SUM('26:25'!X40)</f>
        <v>0</v>
      </c>
      <c r="Y40" s="419">
        <f>SUM('26:25'!Y40)</f>
        <v>0</v>
      </c>
      <c r="Z40" s="419">
        <f>SUM('26:25'!Z40)</f>
        <v>0</v>
      </c>
      <c r="AA40" s="419">
        <f>SUM('26:25'!AA40)</f>
        <v>0</v>
      </c>
      <c r="AB40" s="419">
        <f>SUM('26:25'!AB40)</f>
        <v>0</v>
      </c>
      <c r="AC40" s="419">
        <f>SUM('26:25'!AC40)</f>
        <v>0</v>
      </c>
      <c r="AD40" s="419">
        <f>SUM('26:25'!AD40)</f>
        <v>0</v>
      </c>
      <c r="AE40" s="419">
        <f>SUM('26:25'!AE40)</f>
        <v>0</v>
      </c>
      <c r="AF40" s="419">
        <f>SUM('26:25'!AF40)</f>
        <v>0</v>
      </c>
      <c r="AG40" s="419">
        <f>SUM('26:25'!AG40)</f>
        <v>0</v>
      </c>
      <c r="AH40" s="419">
        <f>SUM('26:25'!AH40)</f>
        <v>0</v>
      </c>
      <c r="AI40" s="419">
        <f>SUM('26:25'!AI40)</f>
        <v>0</v>
      </c>
      <c r="AJ40" s="419">
        <f>SUM('26:25'!AJ40)</f>
        <v>0</v>
      </c>
      <c r="AK40" s="593"/>
      <c r="AL40" s="419">
        <f>SUM('26:25'!AL40)</f>
        <v>0</v>
      </c>
      <c r="AM40" s="419">
        <f>SUM('26:25'!AM40)</f>
        <v>0</v>
      </c>
      <c r="AN40" s="419">
        <f>SUM('26:25'!AN40)</f>
        <v>0</v>
      </c>
      <c r="AO40" s="419">
        <f>SUM('26:25'!AO40)</f>
        <v>0</v>
      </c>
      <c r="AP40" s="597"/>
      <c r="AQ40" s="419">
        <f>SUM('26:25'!AQ40)</f>
        <v>0</v>
      </c>
      <c r="AR40" s="419">
        <f>SUM('26:25'!AR40)</f>
        <v>0</v>
      </c>
      <c r="AS40" s="419">
        <f>SUM('26:25'!AS40)</f>
        <v>0</v>
      </c>
      <c r="AT40" s="419">
        <f>SUM('26:25'!AT40)</f>
        <v>0</v>
      </c>
      <c r="AU40" s="419">
        <f>SUM('26:25'!AU40)</f>
        <v>0</v>
      </c>
      <c r="AV40" s="419">
        <f>SUM('26:25'!AV40)</f>
        <v>0</v>
      </c>
      <c r="AW40" s="419">
        <f>SUM('26:25'!AW40)</f>
        <v>0</v>
      </c>
      <c r="AX40" s="419">
        <f>SUM('26:25'!AX40)</f>
        <v>0</v>
      </c>
      <c r="AY40" s="419">
        <f>SUM('26:25'!AY40)</f>
        <v>0</v>
      </c>
      <c r="AZ40" s="419">
        <f>SUM('26:25'!AZ40)</f>
        <v>0</v>
      </c>
      <c r="BA40" s="419">
        <f>SUM('26:25'!BA40)</f>
        <v>0</v>
      </c>
      <c r="BB40" s="419">
        <f>SUM('26:25'!BB40)</f>
        <v>0</v>
      </c>
      <c r="BC40" s="419">
        <f>SUM('26:25'!BC40)</f>
        <v>0</v>
      </c>
      <c r="BD40" s="593"/>
      <c r="BE40" s="419">
        <f>SUM('26:25'!BE40)</f>
        <v>0</v>
      </c>
      <c r="BF40" s="419">
        <f>SUM('26:25'!BF40)</f>
        <v>0</v>
      </c>
      <c r="BG40" s="419">
        <f>SUM('26:25'!BG40)</f>
        <v>0</v>
      </c>
      <c r="BH40" s="419">
        <f>SUM('26:25'!BH40)</f>
        <v>0</v>
      </c>
      <c r="BI40" s="593"/>
      <c r="BJ40" s="419">
        <f>SUM('26:25'!BJ40)</f>
        <v>0</v>
      </c>
      <c r="BK40" s="419">
        <f>SUM('26:25'!BK40)</f>
        <v>0</v>
      </c>
      <c r="BL40" s="419">
        <f>SUM('26:25'!BL40)</f>
        <v>0</v>
      </c>
      <c r="BM40" s="419">
        <f>SUM('26:25'!BM40)</f>
        <v>0</v>
      </c>
      <c r="BN40" s="419">
        <f>SUM('26:25'!BN40)</f>
        <v>0</v>
      </c>
      <c r="BO40" s="419">
        <f>SUM('26:25'!BO40)</f>
        <v>0</v>
      </c>
      <c r="BP40" s="419">
        <f>SUM('26:25'!BP40)</f>
        <v>0</v>
      </c>
      <c r="BQ40" s="419">
        <f>SUM('26:25'!BQ40)</f>
        <v>0</v>
      </c>
      <c r="BR40" s="419">
        <f>SUM('26:25'!BR40)</f>
        <v>0</v>
      </c>
      <c r="BS40" s="419">
        <f>SUM('26:25'!BS40)</f>
        <v>0</v>
      </c>
      <c r="BT40" s="419">
        <f>SUM('26:25'!BT40)</f>
        <v>0</v>
      </c>
      <c r="BU40" s="419">
        <f>SUM('26:25'!BU40)</f>
        <v>0</v>
      </c>
      <c r="BV40" s="419">
        <f>SUM('26:25'!BV40)</f>
        <v>0</v>
      </c>
      <c r="BW40" s="419">
        <f>SUM('26:25'!BW40)</f>
        <v>0</v>
      </c>
      <c r="BX40" s="819">
        <f t="shared" si="1"/>
        <v>0</v>
      </c>
    </row>
    <row r="41" spans="1:84" ht="19.5" customHeight="1">
      <c r="A41" s="418">
        <f>'BANG LUONG 1'!A43</f>
        <v>41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>
        <f>SUM('26:25'!E41)</f>
        <v>0</v>
      </c>
      <c r="F41" s="419">
        <f>SUM('26:25'!F41)</f>
        <v>0</v>
      </c>
      <c r="G41" s="419">
        <f>SUM('26:25'!G41)</f>
        <v>0</v>
      </c>
      <c r="H41" s="419">
        <f>SUM('26:25'!H41)</f>
        <v>0</v>
      </c>
      <c r="I41" s="419">
        <f>SUM('26:25'!I41)</f>
        <v>0</v>
      </c>
      <c r="J41" s="419">
        <f>SUM('26:25'!J41)</f>
        <v>0</v>
      </c>
      <c r="K41" s="419">
        <f>SUM('26:25'!K41)</f>
        <v>0</v>
      </c>
      <c r="L41" s="419">
        <f>SUM('26:25'!L41)</f>
        <v>0</v>
      </c>
      <c r="M41" s="419">
        <f>SUM('26:25'!M41)</f>
        <v>0</v>
      </c>
      <c r="N41" s="419">
        <f>SUM('26:25'!N41)</f>
        <v>0</v>
      </c>
      <c r="O41" s="419">
        <f>SUM('26:25'!O41)</f>
        <v>0</v>
      </c>
      <c r="P41" s="419">
        <f>SUM('26:25'!P41)</f>
        <v>0</v>
      </c>
      <c r="Q41" s="419">
        <f>SUM('26:25'!Q41)</f>
        <v>0</v>
      </c>
      <c r="R41" s="419">
        <f>SUM('26:25'!R41)</f>
        <v>0</v>
      </c>
      <c r="S41" s="419">
        <f>SUM('26:25'!S41)</f>
        <v>0</v>
      </c>
      <c r="T41" s="419">
        <f>SUM('26:25'!T41)</f>
        <v>0</v>
      </c>
      <c r="U41" s="593"/>
      <c r="V41" s="419">
        <f>SUM('26:25'!V41)</f>
        <v>0</v>
      </c>
      <c r="W41" s="419">
        <f>SUM('26:25'!W41)</f>
        <v>0</v>
      </c>
      <c r="X41" s="419">
        <f>SUM('26:25'!X41)</f>
        <v>0</v>
      </c>
      <c r="Y41" s="419">
        <f>SUM('26:25'!Y41)</f>
        <v>0</v>
      </c>
      <c r="Z41" s="419">
        <f>SUM('26:25'!Z41)</f>
        <v>0</v>
      </c>
      <c r="AA41" s="419">
        <f>SUM('26:25'!AA41)</f>
        <v>0</v>
      </c>
      <c r="AB41" s="419">
        <f>SUM('26:25'!AB41)</f>
        <v>0</v>
      </c>
      <c r="AC41" s="419">
        <f>SUM('26:25'!AC41)</f>
        <v>0</v>
      </c>
      <c r="AD41" s="419">
        <f>SUM('26:25'!AD41)</f>
        <v>0</v>
      </c>
      <c r="AE41" s="419">
        <f>SUM('26:25'!AE41)</f>
        <v>0</v>
      </c>
      <c r="AF41" s="419">
        <f>SUM('26:25'!AF41)</f>
        <v>0</v>
      </c>
      <c r="AG41" s="419">
        <f>SUM('26:25'!AG41)</f>
        <v>0</v>
      </c>
      <c r="AH41" s="419">
        <f>SUM('26:25'!AH41)</f>
        <v>0</v>
      </c>
      <c r="AI41" s="419">
        <f>SUM('26:25'!AI41)</f>
        <v>0</v>
      </c>
      <c r="AJ41" s="419">
        <f>SUM('26:25'!AJ41)</f>
        <v>0</v>
      </c>
      <c r="AK41" s="593"/>
      <c r="AL41" s="419">
        <f>SUM('26:25'!AL41)</f>
        <v>0</v>
      </c>
      <c r="AM41" s="419">
        <f>SUM('26:25'!AM41)</f>
        <v>0</v>
      </c>
      <c r="AN41" s="419">
        <f>SUM('26:25'!AN41)</f>
        <v>0</v>
      </c>
      <c r="AO41" s="419">
        <f>SUM('26:25'!AO41)</f>
        <v>0</v>
      </c>
      <c r="AP41" s="597"/>
      <c r="AQ41" s="419">
        <f>SUM('26:25'!AQ41)</f>
        <v>0</v>
      </c>
      <c r="AR41" s="419">
        <f>SUM('26:25'!AR41)</f>
        <v>0</v>
      </c>
      <c r="AS41" s="419">
        <f>SUM('26:25'!AS41)</f>
        <v>0</v>
      </c>
      <c r="AT41" s="419">
        <f>SUM('26:25'!AT41)</f>
        <v>0</v>
      </c>
      <c r="AU41" s="419">
        <f>SUM('26:25'!AU41)</f>
        <v>0</v>
      </c>
      <c r="AV41" s="419">
        <f>SUM('26:25'!AV41)</f>
        <v>0</v>
      </c>
      <c r="AW41" s="419">
        <f>SUM('26:25'!AW41)</f>
        <v>0</v>
      </c>
      <c r="AX41" s="419">
        <f>SUM('26:25'!AX41)</f>
        <v>0</v>
      </c>
      <c r="AY41" s="419">
        <f>SUM('26:25'!AY41)</f>
        <v>0</v>
      </c>
      <c r="AZ41" s="419">
        <f>SUM('26:25'!AZ41)</f>
        <v>0</v>
      </c>
      <c r="BA41" s="419">
        <f>SUM('26:25'!BA41)</f>
        <v>0</v>
      </c>
      <c r="BB41" s="419">
        <f>SUM('26:25'!BB41)</f>
        <v>0</v>
      </c>
      <c r="BC41" s="419">
        <f>SUM('26:25'!BC41)</f>
        <v>0</v>
      </c>
      <c r="BD41" s="593"/>
      <c r="BE41" s="419">
        <f>SUM('26:25'!BE41)</f>
        <v>0</v>
      </c>
      <c r="BF41" s="419">
        <f>SUM('26:25'!BF41)</f>
        <v>0</v>
      </c>
      <c r="BG41" s="419">
        <f>SUM('26:25'!BG41)</f>
        <v>0</v>
      </c>
      <c r="BH41" s="419">
        <f>SUM('26:25'!BH41)</f>
        <v>0</v>
      </c>
      <c r="BI41" s="593"/>
      <c r="BJ41" s="419">
        <f>SUM('26:25'!BJ41)</f>
        <v>0</v>
      </c>
      <c r="BK41" s="419">
        <f>SUM('26:25'!BK41)</f>
        <v>0</v>
      </c>
      <c r="BL41" s="419">
        <f>SUM('26:25'!BL41)</f>
        <v>0</v>
      </c>
      <c r="BM41" s="419">
        <f>SUM('26:25'!BM41)</f>
        <v>0</v>
      </c>
      <c r="BN41" s="419">
        <f>SUM('26:25'!BN41)</f>
        <v>0</v>
      </c>
      <c r="BO41" s="419">
        <f>SUM('26:25'!BO41)</f>
        <v>0</v>
      </c>
      <c r="BP41" s="419">
        <f>SUM('26:25'!BP41)</f>
        <v>0</v>
      </c>
      <c r="BQ41" s="419">
        <f>SUM('26:25'!BQ41)</f>
        <v>0</v>
      </c>
      <c r="BR41" s="419">
        <f>SUM('26:25'!BR41)</f>
        <v>0</v>
      </c>
      <c r="BS41" s="419">
        <f>SUM('26:25'!BS41)</f>
        <v>0</v>
      </c>
      <c r="BT41" s="419">
        <f>SUM('26:25'!BT41)</f>
        <v>0</v>
      </c>
      <c r="BU41" s="419">
        <f>SUM('26:25'!BU41)</f>
        <v>0</v>
      </c>
      <c r="BV41" s="419">
        <f>SUM('26:25'!BV41)</f>
        <v>0</v>
      </c>
      <c r="BW41" s="419">
        <f>SUM('26:25'!BW41)</f>
        <v>0</v>
      </c>
      <c r="BX41" s="819">
        <f t="shared" si="1"/>
        <v>0</v>
      </c>
    </row>
    <row r="42" spans="1:84" ht="19.5" customHeight="1">
      <c r="A42" s="418"/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>
        <f>SUM('26:25'!E42)</f>
        <v>0</v>
      </c>
      <c r="F42" s="419">
        <f>SUM('26:25'!F42)</f>
        <v>0</v>
      </c>
      <c r="G42" s="419">
        <f>SUM('26:25'!G42)</f>
        <v>0</v>
      </c>
      <c r="H42" s="419">
        <f>SUM('26:25'!H42)</f>
        <v>0</v>
      </c>
      <c r="I42" s="419">
        <f>SUM('26:25'!I42)</f>
        <v>0</v>
      </c>
      <c r="J42" s="419">
        <f>SUM('26:25'!J42)</f>
        <v>0</v>
      </c>
      <c r="K42" s="419">
        <f>SUM('26:25'!K42)</f>
        <v>0</v>
      </c>
      <c r="L42" s="419">
        <f>SUM('26:25'!L42)</f>
        <v>0</v>
      </c>
      <c r="M42" s="419">
        <f>SUM('26:25'!M42)</f>
        <v>0</v>
      </c>
      <c r="N42" s="419">
        <f>SUM('26:25'!N42)</f>
        <v>0</v>
      </c>
      <c r="O42" s="419">
        <f>SUM('26:25'!O42)</f>
        <v>0</v>
      </c>
      <c r="P42" s="419">
        <f>SUM('26:25'!P42)</f>
        <v>0</v>
      </c>
      <c r="Q42" s="419">
        <f>SUM('26:25'!Q42)</f>
        <v>0</v>
      </c>
      <c r="R42" s="419">
        <f>SUM('26:25'!R42)</f>
        <v>0</v>
      </c>
      <c r="S42" s="419">
        <f>SUM('26:25'!S42)</f>
        <v>0</v>
      </c>
      <c r="T42" s="419">
        <f>SUM('26:25'!T42)</f>
        <v>0</v>
      </c>
      <c r="U42" s="593"/>
      <c r="V42" s="419">
        <f>SUM('26:25'!V42)</f>
        <v>0</v>
      </c>
      <c r="W42" s="419">
        <f>SUM('26:25'!W42)</f>
        <v>0</v>
      </c>
      <c r="X42" s="419">
        <f>SUM('26:25'!X42)</f>
        <v>0</v>
      </c>
      <c r="Y42" s="419">
        <f>SUM('26:25'!Y42)</f>
        <v>0</v>
      </c>
      <c r="Z42" s="419">
        <f>SUM('26:25'!Z42)</f>
        <v>0</v>
      </c>
      <c r="AA42" s="419">
        <f>SUM('26:25'!AA42)</f>
        <v>0</v>
      </c>
      <c r="AB42" s="419">
        <f>SUM('26:25'!AB42)</f>
        <v>0</v>
      </c>
      <c r="AC42" s="419">
        <f>SUM('26:25'!AC42)</f>
        <v>0</v>
      </c>
      <c r="AD42" s="419">
        <f>SUM('26:25'!AD42)</f>
        <v>0</v>
      </c>
      <c r="AE42" s="419">
        <f>SUM('26:25'!AE42)</f>
        <v>0</v>
      </c>
      <c r="AF42" s="419">
        <f>SUM('26:25'!AF42)</f>
        <v>0</v>
      </c>
      <c r="AG42" s="419">
        <f>SUM('26:25'!AG42)</f>
        <v>0</v>
      </c>
      <c r="AH42" s="419">
        <f>SUM('26:25'!AH42)</f>
        <v>0</v>
      </c>
      <c r="AI42" s="419">
        <f>SUM('26:25'!AI42)</f>
        <v>0</v>
      </c>
      <c r="AJ42" s="419">
        <f>SUM('26:25'!AJ42)</f>
        <v>0</v>
      </c>
      <c r="AK42" s="593"/>
      <c r="AL42" s="419">
        <f>SUM('26:25'!AL42)</f>
        <v>0</v>
      </c>
      <c r="AM42" s="419">
        <f>SUM('26:25'!AM42)</f>
        <v>0</v>
      </c>
      <c r="AN42" s="419">
        <f>SUM('26:25'!AN42)</f>
        <v>0</v>
      </c>
      <c r="AO42" s="419">
        <f>SUM('26:25'!AO42)</f>
        <v>0</v>
      </c>
      <c r="AP42" s="597"/>
      <c r="AQ42" s="419">
        <f>SUM('26:25'!AQ42)</f>
        <v>0</v>
      </c>
      <c r="AR42" s="419">
        <f>SUM('26:25'!AR42)</f>
        <v>0</v>
      </c>
      <c r="AS42" s="419">
        <f>SUM('26:25'!AS42)</f>
        <v>0</v>
      </c>
      <c r="AT42" s="419">
        <f>SUM('26:25'!AT42)</f>
        <v>0</v>
      </c>
      <c r="AU42" s="419">
        <f>SUM('26:25'!AU42)</f>
        <v>0</v>
      </c>
      <c r="AV42" s="419">
        <f>SUM('26:25'!AV42)</f>
        <v>0</v>
      </c>
      <c r="AW42" s="419">
        <f>SUM('26:25'!AW42)</f>
        <v>0</v>
      </c>
      <c r="AX42" s="419">
        <f>SUM('26:25'!AX42)</f>
        <v>0</v>
      </c>
      <c r="AY42" s="419">
        <f>SUM('26:25'!AY42)</f>
        <v>0</v>
      </c>
      <c r="AZ42" s="419">
        <f>SUM('26:25'!AZ42)</f>
        <v>0</v>
      </c>
      <c r="BA42" s="419">
        <f>SUM('26:25'!BA42)</f>
        <v>0</v>
      </c>
      <c r="BB42" s="419">
        <f>SUM('26:25'!BB42)</f>
        <v>0</v>
      </c>
      <c r="BC42" s="419">
        <f>SUM('26:25'!BC42)</f>
        <v>0</v>
      </c>
      <c r="BD42" s="593"/>
      <c r="BE42" s="419">
        <f>SUM('26:25'!BE42)</f>
        <v>0</v>
      </c>
      <c r="BF42" s="419">
        <f>SUM('26:25'!BF42)</f>
        <v>0</v>
      </c>
      <c r="BG42" s="419">
        <f>SUM('26:25'!BG42)</f>
        <v>0</v>
      </c>
      <c r="BH42" s="419">
        <f>SUM('26:25'!BH42)</f>
        <v>0</v>
      </c>
      <c r="BI42" s="593"/>
      <c r="BJ42" s="419">
        <f>SUM('26:25'!BJ42)</f>
        <v>0</v>
      </c>
      <c r="BK42" s="419">
        <f>SUM('26:25'!BK42)</f>
        <v>0</v>
      </c>
      <c r="BL42" s="419">
        <f>SUM('26:25'!BL42)</f>
        <v>0</v>
      </c>
      <c r="BM42" s="419">
        <f>SUM('26:25'!BM42)</f>
        <v>0</v>
      </c>
      <c r="BN42" s="419">
        <f>SUM('26:25'!BN42)</f>
        <v>0</v>
      </c>
      <c r="BO42" s="419">
        <f>SUM('26:25'!BO42)</f>
        <v>0</v>
      </c>
      <c r="BP42" s="419">
        <f>SUM('26:25'!BP42)</f>
        <v>0</v>
      </c>
      <c r="BQ42" s="419">
        <f>SUM('26:25'!BQ42)</f>
        <v>0</v>
      </c>
      <c r="BR42" s="419">
        <f>SUM('26:25'!BR42)</f>
        <v>0</v>
      </c>
      <c r="BS42" s="419">
        <f>SUM('26:25'!BS42)</f>
        <v>0</v>
      </c>
      <c r="BT42" s="419">
        <f>SUM('26:25'!BT42)</f>
        <v>0</v>
      </c>
      <c r="BU42" s="419">
        <f>SUM('26:25'!BU42)</f>
        <v>0</v>
      </c>
      <c r="BV42" s="419">
        <f>SUM('26:25'!BV42)</f>
        <v>0</v>
      </c>
      <c r="BW42" s="419">
        <f>SUM('26:25'!BW42)</f>
        <v>0</v>
      </c>
      <c r="BX42" s="819"/>
    </row>
    <row r="43" spans="1:84" ht="19.5" customHeight="1">
      <c r="A43" s="418"/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>
        <f>SUM('26:25'!E43)</f>
        <v>0</v>
      </c>
      <c r="F43" s="419">
        <f>SUM('26:25'!F43)</f>
        <v>0</v>
      </c>
      <c r="G43" s="419">
        <f>SUM('26:25'!G43)</f>
        <v>0</v>
      </c>
      <c r="H43" s="419">
        <f>SUM('26:25'!H43)</f>
        <v>0</v>
      </c>
      <c r="I43" s="419">
        <f>SUM('26:25'!I43)</f>
        <v>0</v>
      </c>
      <c r="J43" s="419">
        <f>SUM('26:25'!J43)</f>
        <v>0</v>
      </c>
      <c r="K43" s="419">
        <f>SUM('26:25'!K43)</f>
        <v>0</v>
      </c>
      <c r="L43" s="419">
        <f>SUM('26:25'!L43)</f>
        <v>0</v>
      </c>
      <c r="M43" s="419">
        <f>SUM('26:25'!M43)</f>
        <v>0</v>
      </c>
      <c r="N43" s="419">
        <f>SUM('26:25'!N43)</f>
        <v>0</v>
      </c>
      <c r="O43" s="419">
        <f>SUM('26:25'!O43)</f>
        <v>0</v>
      </c>
      <c r="P43" s="419">
        <f>SUM('26:25'!P43)</f>
        <v>0</v>
      </c>
      <c r="Q43" s="419">
        <f>SUM('26:25'!Q43)</f>
        <v>0</v>
      </c>
      <c r="R43" s="419">
        <f>SUM('26:25'!R43)</f>
        <v>0</v>
      </c>
      <c r="S43" s="419">
        <f>SUM('26:25'!S43)</f>
        <v>0</v>
      </c>
      <c r="T43" s="419">
        <f>SUM('26:25'!T43)</f>
        <v>0</v>
      </c>
      <c r="U43" s="593"/>
      <c r="V43" s="419">
        <f>SUM('26:25'!V43)</f>
        <v>0</v>
      </c>
      <c r="W43" s="419">
        <f>SUM('26:25'!W43)</f>
        <v>0</v>
      </c>
      <c r="X43" s="419">
        <f>SUM('26:25'!X43)</f>
        <v>0</v>
      </c>
      <c r="Y43" s="419">
        <f>SUM('26:25'!Y43)</f>
        <v>0</v>
      </c>
      <c r="Z43" s="419">
        <f>SUM('26:25'!Z43)</f>
        <v>0</v>
      </c>
      <c r="AA43" s="419">
        <f>SUM('26:25'!AA43)</f>
        <v>0</v>
      </c>
      <c r="AB43" s="419">
        <f>SUM('26:25'!AB43)</f>
        <v>0</v>
      </c>
      <c r="AC43" s="419">
        <f>SUM('26:25'!AC43)</f>
        <v>0</v>
      </c>
      <c r="AD43" s="419">
        <f>SUM('26:25'!AD43)</f>
        <v>0</v>
      </c>
      <c r="AE43" s="419">
        <f>SUM('26:25'!AE43)</f>
        <v>0</v>
      </c>
      <c r="AF43" s="419">
        <f>SUM('26:25'!AF43)</f>
        <v>0</v>
      </c>
      <c r="AG43" s="419">
        <f>SUM('26:25'!AG43)</f>
        <v>0</v>
      </c>
      <c r="AH43" s="419">
        <f>SUM('26:25'!AH43)</f>
        <v>0</v>
      </c>
      <c r="AI43" s="419">
        <f>SUM('26:25'!AI43)</f>
        <v>0</v>
      </c>
      <c r="AJ43" s="419">
        <f>SUM('26:25'!AJ43)</f>
        <v>0</v>
      </c>
      <c r="AK43" s="593"/>
      <c r="AL43" s="419">
        <f>SUM('26:25'!AL43)</f>
        <v>0</v>
      </c>
      <c r="AM43" s="419">
        <f>SUM('26:25'!AM43)</f>
        <v>0</v>
      </c>
      <c r="AN43" s="419">
        <f>SUM('26:25'!AN43)</f>
        <v>0</v>
      </c>
      <c r="AO43" s="419">
        <f>SUM('26:25'!AO43)</f>
        <v>0</v>
      </c>
      <c r="AP43" s="597"/>
      <c r="AQ43" s="419">
        <f>SUM('26:25'!AQ43)</f>
        <v>0</v>
      </c>
      <c r="AR43" s="419">
        <f>SUM('26:25'!AR43)</f>
        <v>0</v>
      </c>
      <c r="AS43" s="419">
        <f>SUM('26:25'!AS43)</f>
        <v>0</v>
      </c>
      <c r="AT43" s="419">
        <f>SUM('26:25'!AT43)</f>
        <v>0</v>
      </c>
      <c r="AU43" s="419">
        <f>SUM('26:25'!AU43)</f>
        <v>0</v>
      </c>
      <c r="AV43" s="419">
        <f>SUM('26:25'!AV43)</f>
        <v>0</v>
      </c>
      <c r="AW43" s="419">
        <f>SUM('26:25'!AW43)</f>
        <v>0</v>
      </c>
      <c r="AX43" s="419">
        <f>SUM('26:25'!AX43)</f>
        <v>0</v>
      </c>
      <c r="AY43" s="419">
        <f>SUM('26:25'!AY43)</f>
        <v>0</v>
      </c>
      <c r="AZ43" s="419">
        <f>SUM('26:25'!AZ43)</f>
        <v>0</v>
      </c>
      <c r="BA43" s="419">
        <f>SUM('26:25'!BA43)</f>
        <v>0</v>
      </c>
      <c r="BB43" s="419">
        <f>SUM('26:25'!BB43)</f>
        <v>0</v>
      </c>
      <c r="BC43" s="419">
        <f>SUM('26:25'!BC43)</f>
        <v>0</v>
      </c>
      <c r="BD43" s="593"/>
      <c r="BE43" s="419">
        <f>SUM('26:25'!BE43)</f>
        <v>0</v>
      </c>
      <c r="BF43" s="419">
        <f>SUM('26:25'!BF43)</f>
        <v>0</v>
      </c>
      <c r="BG43" s="419">
        <f>SUM('26:25'!BG43)</f>
        <v>0</v>
      </c>
      <c r="BH43" s="419">
        <f>SUM('26:25'!BH43)</f>
        <v>0</v>
      </c>
      <c r="BI43" s="593"/>
      <c r="BJ43" s="419">
        <f>SUM('26:25'!BJ43)</f>
        <v>0</v>
      </c>
      <c r="BK43" s="419">
        <f>SUM('26:25'!BK43)</f>
        <v>0</v>
      </c>
      <c r="BL43" s="419">
        <f>SUM('26:25'!BL43)</f>
        <v>0</v>
      </c>
      <c r="BM43" s="419">
        <f>SUM('26:25'!BM43)</f>
        <v>0</v>
      </c>
      <c r="BN43" s="419">
        <f>SUM('26:25'!BN43)</f>
        <v>0</v>
      </c>
      <c r="BO43" s="419">
        <f>SUM('26:25'!BO43)</f>
        <v>0</v>
      </c>
      <c r="BP43" s="419">
        <f>SUM('26:25'!BP43)</f>
        <v>0</v>
      </c>
      <c r="BQ43" s="419">
        <f>SUM('26:25'!BQ43)</f>
        <v>0</v>
      </c>
      <c r="BR43" s="419">
        <f>SUM('26:25'!BR43)</f>
        <v>0</v>
      </c>
      <c r="BS43" s="419">
        <f>SUM('26:25'!BS43)</f>
        <v>0</v>
      </c>
      <c r="BT43" s="419">
        <f>SUM('26:25'!BT43)</f>
        <v>0</v>
      </c>
      <c r="BU43" s="419">
        <f>SUM('26:25'!BU43)</f>
        <v>0</v>
      </c>
      <c r="BV43" s="419">
        <f>SUM('26:25'!BV43)</f>
        <v>0</v>
      </c>
      <c r="BW43" s="419">
        <f>SUM('26:25'!BW43)</f>
        <v>0</v>
      </c>
      <c r="BX43" s="819"/>
    </row>
    <row r="44" spans="1:84" ht="19.5" customHeight="1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>
        <f>SUM('26:25'!E44)</f>
        <v>0</v>
      </c>
      <c r="F44" s="419">
        <f>SUM('26:25'!F44)</f>
        <v>0</v>
      </c>
      <c r="G44" s="419">
        <f>SUM('26:25'!G44)</f>
        <v>0</v>
      </c>
      <c r="H44" s="419">
        <f>SUM('26:25'!H44)</f>
        <v>0</v>
      </c>
      <c r="I44" s="419">
        <f>SUM('26:25'!I44)</f>
        <v>0</v>
      </c>
      <c r="J44" s="419">
        <f>SUM('26:25'!J44)</f>
        <v>0</v>
      </c>
      <c r="K44" s="419">
        <f>SUM('26:25'!K44)</f>
        <v>0</v>
      </c>
      <c r="L44" s="419">
        <f>SUM('26:25'!L44)</f>
        <v>0</v>
      </c>
      <c r="M44" s="419">
        <f>SUM('26:25'!M44)</f>
        <v>0</v>
      </c>
      <c r="N44" s="419">
        <f>SUM('26:25'!N44)</f>
        <v>0</v>
      </c>
      <c r="O44" s="419">
        <f>SUM('26:25'!O44)</f>
        <v>0</v>
      </c>
      <c r="P44" s="419">
        <f>SUM('26:25'!P44)</f>
        <v>0</v>
      </c>
      <c r="Q44" s="419">
        <f>SUM('26:25'!Q44)</f>
        <v>0</v>
      </c>
      <c r="R44" s="419">
        <f>SUM('26:25'!R44)</f>
        <v>0</v>
      </c>
      <c r="S44" s="419">
        <f>SUM('26:25'!S44)</f>
        <v>0</v>
      </c>
      <c r="T44" s="419">
        <f>SUM('26:25'!T44)</f>
        <v>0</v>
      </c>
      <c r="U44" s="593"/>
      <c r="V44" s="419">
        <f>SUM('26:25'!V44)</f>
        <v>0</v>
      </c>
      <c r="W44" s="419">
        <f>SUM('26:25'!W44)</f>
        <v>0</v>
      </c>
      <c r="X44" s="419">
        <f>SUM('26:25'!X44)</f>
        <v>0</v>
      </c>
      <c r="Y44" s="419">
        <f>SUM('26:25'!Y44)</f>
        <v>0</v>
      </c>
      <c r="Z44" s="419">
        <f>SUM('26:25'!Z44)</f>
        <v>0</v>
      </c>
      <c r="AA44" s="419">
        <f>SUM('26:25'!AA44)</f>
        <v>0</v>
      </c>
      <c r="AB44" s="419">
        <f>SUM('26:25'!AB44)</f>
        <v>0</v>
      </c>
      <c r="AC44" s="419">
        <f>SUM('26:25'!AC44)</f>
        <v>0</v>
      </c>
      <c r="AD44" s="419">
        <f>SUM('26:25'!AD44)</f>
        <v>0</v>
      </c>
      <c r="AE44" s="419">
        <f>SUM('26:25'!AE44)</f>
        <v>0</v>
      </c>
      <c r="AF44" s="419">
        <f>SUM('26:25'!AF44)</f>
        <v>0</v>
      </c>
      <c r="AG44" s="419">
        <f>SUM('26:25'!AG44)</f>
        <v>0</v>
      </c>
      <c r="AH44" s="419">
        <f>SUM('26:25'!AH44)</f>
        <v>0</v>
      </c>
      <c r="AI44" s="419">
        <f>SUM('26:25'!AI44)</f>
        <v>0</v>
      </c>
      <c r="AJ44" s="419">
        <f>SUM('26:25'!AJ44)</f>
        <v>0</v>
      </c>
      <c r="AK44" s="593"/>
      <c r="AL44" s="419">
        <f>SUM('26:25'!AL44)</f>
        <v>0</v>
      </c>
      <c r="AM44" s="419">
        <f>SUM('26:25'!AM44)</f>
        <v>0</v>
      </c>
      <c r="AN44" s="419">
        <f>SUM('26:25'!AN44)</f>
        <v>0</v>
      </c>
      <c r="AO44" s="419">
        <f>SUM('26:25'!AO44)</f>
        <v>0</v>
      </c>
      <c r="AP44" s="597"/>
      <c r="AQ44" s="419">
        <f>SUM('26:25'!AQ44)</f>
        <v>0</v>
      </c>
      <c r="AR44" s="419">
        <f>SUM('26:25'!AR44)</f>
        <v>0</v>
      </c>
      <c r="AS44" s="419">
        <f>SUM('26:25'!AS44)</f>
        <v>0</v>
      </c>
      <c r="AT44" s="419">
        <f>SUM('26:25'!AT44)</f>
        <v>0</v>
      </c>
      <c r="AU44" s="419">
        <f>SUM('26:25'!AU44)</f>
        <v>0</v>
      </c>
      <c r="AV44" s="419">
        <f>SUM('26:25'!AV44)</f>
        <v>0</v>
      </c>
      <c r="AW44" s="419">
        <f>SUM('26:25'!AW44)</f>
        <v>0</v>
      </c>
      <c r="AX44" s="419">
        <f>SUM('26:25'!AX44)</f>
        <v>0</v>
      </c>
      <c r="AY44" s="419">
        <f>SUM('26:25'!AY44)</f>
        <v>0</v>
      </c>
      <c r="AZ44" s="419">
        <f>SUM('26:25'!AZ44)</f>
        <v>0</v>
      </c>
      <c r="BA44" s="419">
        <f>SUM('26:25'!BA44)</f>
        <v>0</v>
      </c>
      <c r="BB44" s="419">
        <f>SUM('26:25'!BB44)</f>
        <v>0</v>
      </c>
      <c r="BC44" s="419">
        <f>SUM('26:25'!BC44)</f>
        <v>0</v>
      </c>
      <c r="BD44" s="593"/>
      <c r="BE44" s="419">
        <f>SUM('26:25'!BE44)</f>
        <v>0</v>
      </c>
      <c r="BF44" s="419">
        <f>SUM('26:25'!BF44)</f>
        <v>0</v>
      </c>
      <c r="BG44" s="419">
        <f>SUM('26:25'!BG44)</f>
        <v>0</v>
      </c>
      <c r="BH44" s="419">
        <f>SUM('26:25'!BH44)</f>
        <v>0</v>
      </c>
      <c r="BI44" s="593"/>
      <c r="BJ44" s="419">
        <f>SUM('26:25'!BJ44)</f>
        <v>0</v>
      </c>
      <c r="BK44" s="419">
        <f>SUM('26:25'!BK44)</f>
        <v>0</v>
      </c>
      <c r="BL44" s="419">
        <f>SUM('26:25'!BL44)</f>
        <v>0</v>
      </c>
      <c r="BM44" s="419">
        <f>SUM('26:25'!BM44)</f>
        <v>0</v>
      </c>
      <c r="BN44" s="419">
        <f>SUM('26:25'!BN44)</f>
        <v>0</v>
      </c>
      <c r="BO44" s="419">
        <f>SUM('26:25'!BO44)</f>
        <v>0</v>
      </c>
      <c r="BP44" s="419">
        <f>SUM('26:25'!BP44)</f>
        <v>0</v>
      </c>
      <c r="BQ44" s="419">
        <f>SUM('26:25'!BQ44)</f>
        <v>0</v>
      </c>
      <c r="BR44" s="419">
        <f>SUM('26:25'!BR44)</f>
        <v>0</v>
      </c>
      <c r="BS44" s="419">
        <f>SUM('26:25'!BS44)</f>
        <v>0</v>
      </c>
      <c r="BT44" s="419">
        <f>SUM('26:25'!BT44)</f>
        <v>0</v>
      </c>
      <c r="BU44" s="419">
        <f>SUM('26:25'!BU44)</f>
        <v>0</v>
      </c>
      <c r="BV44" s="419">
        <f>SUM('26:25'!BV44)</f>
        <v>0</v>
      </c>
      <c r="BW44" s="419">
        <f>SUM('26:25'!BW44)</f>
        <v>0</v>
      </c>
      <c r="BX44" s="819"/>
    </row>
    <row r="45" spans="1:84" ht="19.5" customHeight="1">
      <c r="A45" s="418">
        <f>'BANG LUONG 1'!A48</f>
        <v>42</v>
      </c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>
        <f>SUM('26:25'!E45)</f>
        <v>0</v>
      </c>
      <c r="F45" s="419">
        <f>SUM('26:25'!F45)</f>
        <v>0</v>
      </c>
      <c r="G45" s="419">
        <f>SUM('26:25'!G45)</f>
        <v>0</v>
      </c>
      <c r="H45" s="419">
        <f>SUM('26:25'!H45)</f>
        <v>0</v>
      </c>
      <c r="I45" s="419">
        <f>SUM('26:25'!I45)</f>
        <v>0</v>
      </c>
      <c r="J45" s="419">
        <f>SUM('26:25'!J45)</f>
        <v>0</v>
      </c>
      <c r="K45" s="419">
        <f>SUM('26:25'!K45)</f>
        <v>0</v>
      </c>
      <c r="L45" s="419">
        <f>SUM('26:25'!L45)</f>
        <v>0</v>
      </c>
      <c r="M45" s="419">
        <f>SUM('26:25'!M45)</f>
        <v>0</v>
      </c>
      <c r="N45" s="419">
        <f>SUM('26:25'!N45)</f>
        <v>0</v>
      </c>
      <c r="O45" s="419">
        <f>SUM('26:25'!O45)</f>
        <v>0</v>
      </c>
      <c r="P45" s="419">
        <f>SUM('26:25'!P45)</f>
        <v>0</v>
      </c>
      <c r="Q45" s="419">
        <f>SUM('26:25'!Q45)</f>
        <v>0</v>
      </c>
      <c r="R45" s="419">
        <f>SUM('26:25'!R45)</f>
        <v>0</v>
      </c>
      <c r="S45" s="419">
        <f>SUM('26:25'!S45)</f>
        <v>0</v>
      </c>
      <c r="T45" s="419">
        <f>SUM('26:25'!T45)</f>
        <v>0</v>
      </c>
      <c r="U45" s="593"/>
      <c r="V45" s="419">
        <f>SUM('26:25'!V45)</f>
        <v>0</v>
      </c>
      <c r="W45" s="419">
        <f>SUM('26:25'!W45)</f>
        <v>0</v>
      </c>
      <c r="X45" s="419">
        <f>SUM('26:25'!X45)</f>
        <v>0</v>
      </c>
      <c r="Y45" s="419">
        <f>SUM('26:25'!Y45)</f>
        <v>0</v>
      </c>
      <c r="Z45" s="419">
        <f>SUM('26:25'!Z45)</f>
        <v>0</v>
      </c>
      <c r="AA45" s="419">
        <f>SUM('26:25'!AA45)</f>
        <v>0</v>
      </c>
      <c r="AB45" s="419">
        <f>SUM('26:25'!AB45)</f>
        <v>0</v>
      </c>
      <c r="AC45" s="419">
        <f>SUM('26:25'!AC45)</f>
        <v>0</v>
      </c>
      <c r="AD45" s="419">
        <f>SUM('26:25'!AD45)</f>
        <v>0</v>
      </c>
      <c r="AE45" s="419">
        <f>SUM('26:25'!AE45)</f>
        <v>0</v>
      </c>
      <c r="AF45" s="419">
        <f>SUM('26:25'!AF45)</f>
        <v>0</v>
      </c>
      <c r="AG45" s="419">
        <f>SUM('26:25'!AG45)</f>
        <v>0</v>
      </c>
      <c r="AH45" s="419">
        <f>SUM('26:25'!AH45)</f>
        <v>0</v>
      </c>
      <c r="AI45" s="419">
        <f>SUM('26:25'!AI45)</f>
        <v>0</v>
      </c>
      <c r="AJ45" s="419">
        <f>SUM('26:25'!AJ45)</f>
        <v>0</v>
      </c>
      <c r="AK45" s="593"/>
      <c r="AL45" s="419">
        <f>SUM('26:25'!AL45)</f>
        <v>0</v>
      </c>
      <c r="AM45" s="419">
        <f>SUM('26:25'!AM45)</f>
        <v>0</v>
      </c>
      <c r="AN45" s="419">
        <f>SUM('26:25'!AN45)</f>
        <v>0</v>
      </c>
      <c r="AO45" s="419">
        <f>SUM('26:25'!AO45)</f>
        <v>0</v>
      </c>
      <c r="AP45" s="597"/>
      <c r="AQ45" s="419">
        <f>SUM('26:25'!AQ45)</f>
        <v>0</v>
      </c>
      <c r="AR45" s="419">
        <f>SUM('26:25'!AR45)</f>
        <v>0</v>
      </c>
      <c r="AS45" s="419">
        <f>SUM('26:25'!AS45)</f>
        <v>0</v>
      </c>
      <c r="AT45" s="419">
        <f>SUM('26:25'!AT45)</f>
        <v>0</v>
      </c>
      <c r="AU45" s="419">
        <f>SUM('26:25'!AU45)</f>
        <v>0</v>
      </c>
      <c r="AV45" s="419">
        <f>SUM('26:25'!AV45)</f>
        <v>0</v>
      </c>
      <c r="AW45" s="419">
        <f>SUM('26:25'!AW45)</f>
        <v>0</v>
      </c>
      <c r="AX45" s="419">
        <f>SUM('26:25'!AX45)</f>
        <v>0</v>
      </c>
      <c r="AY45" s="419">
        <f>SUM('26:25'!AY45)</f>
        <v>0</v>
      </c>
      <c r="AZ45" s="419">
        <f>SUM('26:25'!AZ45)</f>
        <v>0</v>
      </c>
      <c r="BA45" s="419">
        <f>SUM('26:25'!BA45)</f>
        <v>0</v>
      </c>
      <c r="BB45" s="419">
        <f>SUM('26:25'!BB45)</f>
        <v>0</v>
      </c>
      <c r="BC45" s="419">
        <f>SUM('26:25'!BC45)</f>
        <v>0</v>
      </c>
      <c r="BD45" s="593"/>
      <c r="BE45" s="419">
        <f>SUM('26:25'!BE45)</f>
        <v>0</v>
      </c>
      <c r="BF45" s="419">
        <f>SUM('26:25'!BF45)</f>
        <v>0</v>
      </c>
      <c r="BG45" s="419">
        <f>SUM('26:25'!BG45)</f>
        <v>0</v>
      </c>
      <c r="BH45" s="419">
        <f>SUM('26:25'!BH45)</f>
        <v>0</v>
      </c>
      <c r="BI45" s="593"/>
      <c r="BJ45" s="419">
        <f>SUM('26:25'!BJ45)</f>
        <v>0</v>
      </c>
      <c r="BK45" s="419">
        <f>SUM('26:25'!BK45)</f>
        <v>0</v>
      </c>
      <c r="BL45" s="419">
        <f>SUM('26:25'!BL45)</f>
        <v>0</v>
      </c>
      <c r="BM45" s="419">
        <f>SUM('26:25'!BM45)</f>
        <v>0</v>
      </c>
      <c r="BN45" s="419">
        <f>SUM('26:25'!BN45)</f>
        <v>0</v>
      </c>
      <c r="BO45" s="419">
        <f>SUM('26:25'!BO45)</f>
        <v>0</v>
      </c>
      <c r="BP45" s="419">
        <f>SUM('26:25'!BP45)</f>
        <v>0</v>
      </c>
      <c r="BQ45" s="419">
        <f>SUM('26:25'!BQ45)</f>
        <v>0</v>
      </c>
      <c r="BR45" s="419">
        <f>SUM('26:25'!BR45)</f>
        <v>0</v>
      </c>
      <c r="BS45" s="419">
        <f>SUM('26:25'!BS45)</f>
        <v>0</v>
      </c>
      <c r="BT45" s="419">
        <f>SUM('26:25'!BT45)</f>
        <v>0</v>
      </c>
      <c r="BU45" s="419">
        <f>SUM('26:25'!BU45)</f>
        <v>0</v>
      </c>
      <c r="BV45" s="419">
        <f>SUM('26:25'!BV45)</f>
        <v>0</v>
      </c>
      <c r="BW45" s="419">
        <f>SUM('26:25'!BW45)</f>
        <v>0</v>
      </c>
      <c r="BX45" s="819">
        <f t="shared" si="1"/>
        <v>0</v>
      </c>
    </row>
    <row r="46" spans="1:84" ht="19.5" customHeight="1">
      <c r="A46" s="418">
        <f>'BANG LUONG 1'!A49</f>
        <v>43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>
        <f>SUM('26:25'!E46)</f>
        <v>0</v>
      </c>
      <c r="F46" s="419">
        <f>SUM('26:25'!F46)</f>
        <v>0</v>
      </c>
      <c r="G46" s="419">
        <f>SUM('26:25'!G46)</f>
        <v>0</v>
      </c>
      <c r="H46" s="419">
        <f>SUM('26:25'!H46)</f>
        <v>0</v>
      </c>
      <c r="I46" s="419">
        <f>SUM('26:25'!I46)</f>
        <v>0</v>
      </c>
      <c r="J46" s="419">
        <f>SUM('26:25'!J46)</f>
        <v>0</v>
      </c>
      <c r="K46" s="419">
        <f>SUM('26:25'!K46)</f>
        <v>0</v>
      </c>
      <c r="L46" s="419">
        <f>SUM('26:25'!L46)</f>
        <v>0</v>
      </c>
      <c r="M46" s="419">
        <f>SUM('26:25'!M46)</f>
        <v>0</v>
      </c>
      <c r="N46" s="419">
        <f>SUM('26:25'!N46)</f>
        <v>0</v>
      </c>
      <c r="O46" s="419">
        <f>SUM('26:25'!O46)</f>
        <v>0</v>
      </c>
      <c r="P46" s="419">
        <f>SUM('26:25'!P46)</f>
        <v>0</v>
      </c>
      <c r="Q46" s="419">
        <f>SUM('26:25'!Q46)</f>
        <v>0</v>
      </c>
      <c r="R46" s="419">
        <f>SUM('26:25'!R46)</f>
        <v>0</v>
      </c>
      <c r="S46" s="419">
        <f>SUM('26:25'!S46)</f>
        <v>0</v>
      </c>
      <c r="T46" s="419">
        <f>SUM('26:25'!T46)</f>
        <v>0</v>
      </c>
      <c r="U46" s="593"/>
      <c r="V46" s="419">
        <f>SUM('26:25'!V46)</f>
        <v>0</v>
      </c>
      <c r="W46" s="419">
        <f>SUM('26:25'!W46)</f>
        <v>0</v>
      </c>
      <c r="X46" s="419">
        <f>SUM('26:25'!X46)</f>
        <v>0</v>
      </c>
      <c r="Y46" s="419">
        <f>SUM('26:25'!Y46)</f>
        <v>0</v>
      </c>
      <c r="Z46" s="419">
        <f>SUM('26:25'!Z46)</f>
        <v>0</v>
      </c>
      <c r="AA46" s="419">
        <f>SUM('26:25'!AA46)</f>
        <v>0</v>
      </c>
      <c r="AB46" s="419">
        <f>SUM('26:25'!AB46)</f>
        <v>0</v>
      </c>
      <c r="AC46" s="419">
        <f>SUM('26:25'!AC46)</f>
        <v>0</v>
      </c>
      <c r="AD46" s="419">
        <f>SUM('26:25'!AD46)</f>
        <v>0</v>
      </c>
      <c r="AE46" s="419">
        <f>SUM('26:25'!AE46)</f>
        <v>0</v>
      </c>
      <c r="AF46" s="419">
        <f>SUM('26:25'!AF46)</f>
        <v>0</v>
      </c>
      <c r="AG46" s="419">
        <f>SUM('26:25'!AG46)</f>
        <v>0</v>
      </c>
      <c r="AH46" s="419">
        <f>SUM('26:25'!AH46)</f>
        <v>0</v>
      </c>
      <c r="AI46" s="419">
        <f>SUM('26:25'!AI46)</f>
        <v>0</v>
      </c>
      <c r="AJ46" s="419">
        <f>SUM('26:25'!AJ46)</f>
        <v>0</v>
      </c>
      <c r="AK46" s="593"/>
      <c r="AL46" s="419">
        <f>SUM('26:25'!AL46)</f>
        <v>0</v>
      </c>
      <c r="AM46" s="419">
        <f>SUM('26:25'!AM46)</f>
        <v>0</v>
      </c>
      <c r="AN46" s="419">
        <f>SUM('26:25'!AN46)</f>
        <v>0</v>
      </c>
      <c r="AO46" s="419">
        <f>SUM('26:25'!AO46)</f>
        <v>0</v>
      </c>
      <c r="AP46" s="597"/>
      <c r="AQ46" s="419">
        <f>SUM('26:25'!AQ46)</f>
        <v>0</v>
      </c>
      <c r="AR46" s="419">
        <f>SUM('26:25'!AR46)</f>
        <v>0</v>
      </c>
      <c r="AS46" s="419">
        <f>SUM('26:25'!AS46)</f>
        <v>0</v>
      </c>
      <c r="AT46" s="419">
        <f>SUM('26:25'!AT46)</f>
        <v>0</v>
      </c>
      <c r="AU46" s="419">
        <f>SUM('26:25'!AU46)</f>
        <v>0</v>
      </c>
      <c r="AV46" s="419">
        <f>SUM('26:25'!AV46)</f>
        <v>0</v>
      </c>
      <c r="AW46" s="419">
        <f>SUM('26:25'!AW46)</f>
        <v>0</v>
      </c>
      <c r="AX46" s="419">
        <f>SUM('26:25'!AX46)</f>
        <v>0</v>
      </c>
      <c r="AY46" s="419">
        <f>SUM('26:25'!AY46)</f>
        <v>0</v>
      </c>
      <c r="AZ46" s="419">
        <f>SUM('26:25'!AZ46)</f>
        <v>0</v>
      </c>
      <c r="BA46" s="419">
        <f>SUM('26:25'!BA46)</f>
        <v>0</v>
      </c>
      <c r="BB46" s="419">
        <f>SUM('26:25'!BB46)</f>
        <v>0</v>
      </c>
      <c r="BC46" s="419">
        <f>SUM('26:25'!BC46)</f>
        <v>0</v>
      </c>
      <c r="BD46" s="593"/>
      <c r="BE46" s="419">
        <f>SUM('26:25'!BE46)</f>
        <v>0</v>
      </c>
      <c r="BF46" s="419">
        <f>SUM('26:25'!BF46)</f>
        <v>0</v>
      </c>
      <c r="BG46" s="419">
        <f>SUM('26:25'!BG46)</f>
        <v>0</v>
      </c>
      <c r="BH46" s="419">
        <f>SUM('26:25'!BH46)</f>
        <v>0</v>
      </c>
      <c r="BI46" s="593"/>
      <c r="BJ46" s="419">
        <f>SUM('26:25'!BJ46)</f>
        <v>0</v>
      </c>
      <c r="BK46" s="419">
        <f>SUM('26:25'!BK46)</f>
        <v>0</v>
      </c>
      <c r="BL46" s="419">
        <f>SUM('26:25'!BL46)</f>
        <v>0</v>
      </c>
      <c r="BM46" s="419">
        <f>SUM('26:25'!BM46)</f>
        <v>0</v>
      </c>
      <c r="BN46" s="419">
        <f>SUM('26:25'!BN46)</f>
        <v>0</v>
      </c>
      <c r="BO46" s="419">
        <f>SUM('26:25'!BO46)</f>
        <v>0</v>
      </c>
      <c r="BP46" s="419">
        <f>SUM('26:25'!BP46)</f>
        <v>0</v>
      </c>
      <c r="BQ46" s="419">
        <f>SUM('26:25'!BQ46)</f>
        <v>0</v>
      </c>
      <c r="BR46" s="419">
        <f>SUM('26:25'!BR46)</f>
        <v>0</v>
      </c>
      <c r="BS46" s="419">
        <f>SUM('26:25'!BS46)</f>
        <v>0</v>
      </c>
      <c r="BT46" s="419">
        <f>SUM('26:25'!BT46)</f>
        <v>0</v>
      </c>
      <c r="BU46" s="419">
        <f>SUM('26:25'!BU46)</f>
        <v>0</v>
      </c>
      <c r="BV46" s="419">
        <f>SUM('26:25'!BV46)</f>
        <v>0</v>
      </c>
      <c r="BW46" s="419">
        <f>SUM('26:25'!BW46)</f>
        <v>0</v>
      </c>
      <c r="BX46" s="819">
        <f t="shared" si="1"/>
        <v>0</v>
      </c>
    </row>
    <row r="47" spans="1:84" ht="19.5" customHeight="1">
      <c r="A47" s="418">
        <f>'BANG LUONG 1'!A50</f>
        <v>44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>
        <f>SUM('26:25'!E47)</f>
        <v>0</v>
      </c>
      <c r="F47" s="419">
        <f>SUM('26:25'!F47)</f>
        <v>0</v>
      </c>
      <c r="G47" s="419">
        <f>SUM('26:25'!G47)</f>
        <v>0</v>
      </c>
      <c r="H47" s="419">
        <f>SUM('26:25'!H47)</f>
        <v>0</v>
      </c>
      <c r="I47" s="419">
        <f>SUM('26:25'!I47)</f>
        <v>0</v>
      </c>
      <c r="J47" s="419">
        <f>SUM('26:25'!J47)</f>
        <v>0</v>
      </c>
      <c r="K47" s="419">
        <f>SUM('26:25'!K47)</f>
        <v>0</v>
      </c>
      <c r="L47" s="419">
        <f>SUM('26:25'!L47)</f>
        <v>0</v>
      </c>
      <c r="M47" s="419">
        <f>SUM('26:25'!M47)</f>
        <v>0</v>
      </c>
      <c r="N47" s="419">
        <f>SUM('26:25'!N47)</f>
        <v>0</v>
      </c>
      <c r="O47" s="419">
        <f>SUM('26:25'!O47)</f>
        <v>0</v>
      </c>
      <c r="P47" s="419">
        <f>SUM('26:25'!P47)</f>
        <v>0</v>
      </c>
      <c r="Q47" s="419">
        <f>SUM('26:25'!Q47)</f>
        <v>0</v>
      </c>
      <c r="R47" s="419">
        <f>SUM('26:25'!R47)</f>
        <v>0</v>
      </c>
      <c r="S47" s="419">
        <f>SUM('26:25'!S47)</f>
        <v>0</v>
      </c>
      <c r="T47" s="419">
        <f>SUM('26:25'!T47)</f>
        <v>0</v>
      </c>
      <c r="U47" s="593"/>
      <c r="V47" s="419">
        <f>SUM('26:25'!V47)</f>
        <v>0</v>
      </c>
      <c r="W47" s="419">
        <f>SUM('26:25'!W47)</f>
        <v>0</v>
      </c>
      <c r="X47" s="419">
        <f>SUM('26:25'!X47)</f>
        <v>0</v>
      </c>
      <c r="Y47" s="419">
        <f>SUM('26:25'!Y47)</f>
        <v>0</v>
      </c>
      <c r="Z47" s="419">
        <f>SUM('26:25'!Z47)</f>
        <v>0</v>
      </c>
      <c r="AA47" s="419">
        <f>SUM('26:25'!AA47)</f>
        <v>0</v>
      </c>
      <c r="AB47" s="419">
        <f>SUM('26:25'!AB47)</f>
        <v>0</v>
      </c>
      <c r="AC47" s="419">
        <f>SUM('26:25'!AC47)</f>
        <v>0</v>
      </c>
      <c r="AD47" s="419">
        <f>SUM('26:25'!AD47)</f>
        <v>0</v>
      </c>
      <c r="AE47" s="419">
        <f>SUM('26:25'!AE47)</f>
        <v>0</v>
      </c>
      <c r="AF47" s="419">
        <f>SUM('26:25'!AF47)</f>
        <v>0</v>
      </c>
      <c r="AG47" s="419">
        <f>SUM('26:25'!AG47)</f>
        <v>0</v>
      </c>
      <c r="AH47" s="419">
        <f>SUM('26:25'!AH47)</f>
        <v>0</v>
      </c>
      <c r="AI47" s="419">
        <f>SUM('26:25'!AI47)</f>
        <v>0</v>
      </c>
      <c r="AJ47" s="419">
        <f>SUM('26:25'!AJ47)</f>
        <v>0</v>
      </c>
      <c r="AK47" s="593"/>
      <c r="AL47" s="419">
        <f>SUM('26:25'!AL47)</f>
        <v>0</v>
      </c>
      <c r="AM47" s="419">
        <f>SUM('26:25'!AM47)</f>
        <v>0</v>
      </c>
      <c r="AN47" s="419">
        <f>SUM('26:25'!AN47)</f>
        <v>0</v>
      </c>
      <c r="AO47" s="419">
        <f>SUM('26:25'!AO47)</f>
        <v>0</v>
      </c>
      <c r="AP47" s="597"/>
      <c r="AQ47" s="419">
        <f>SUM('26:25'!AQ47)</f>
        <v>0</v>
      </c>
      <c r="AR47" s="419">
        <f>SUM('26:25'!AR47)</f>
        <v>0</v>
      </c>
      <c r="AS47" s="419">
        <f>SUM('26:25'!AS47)</f>
        <v>0</v>
      </c>
      <c r="AT47" s="419">
        <f>SUM('26:25'!AT47)</f>
        <v>0</v>
      </c>
      <c r="AU47" s="419">
        <f>SUM('26:25'!AU47)</f>
        <v>0</v>
      </c>
      <c r="AV47" s="419">
        <f>SUM('26:25'!AV47)</f>
        <v>0</v>
      </c>
      <c r="AW47" s="419">
        <f>SUM('26:25'!AW47)</f>
        <v>0</v>
      </c>
      <c r="AX47" s="419">
        <f>SUM('26:25'!AX47)</f>
        <v>0</v>
      </c>
      <c r="AY47" s="419">
        <f>SUM('26:25'!AY47)</f>
        <v>0</v>
      </c>
      <c r="AZ47" s="419">
        <f>SUM('26:25'!AZ47)</f>
        <v>0</v>
      </c>
      <c r="BA47" s="419">
        <f>SUM('26:25'!BA47)</f>
        <v>0</v>
      </c>
      <c r="BB47" s="419">
        <f>SUM('26:25'!BB47)</f>
        <v>0</v>
      </c>
      <c r="BC47" s="419">
        <f>SUM('26:25'!BC47)</f>
        <v>0</v>
      </c>
      <c r="BD47" s="593"/>
      <c r="BE47" s="419">
        <f>SUM('26:25'!BE47)</f>
        <v>0</v>
      </c>
      <c r="BF47" s="419">
        <f>SUM('26:25'!BF47)</f>
        <v>0</v>
      </c>
      <c r="BG47" s="419">
        <f>SUM('26:25'!BG47)</f>
        <v>0</v>
      </c>
      <c r="BH47" s="419">
        <f>SUM('26:25'!BH47)</f>
        <v>0</v>
      </c>
      <c r="BI47" s="593"/>
      <c r="BJ47" s="419">
        <f>SUM('26:25'!BJ47)</f>
        <v>0</v>
      </c>
      <c r="BK47" s="419">
        <f>SUM('26:25'!BK47)</f>
        <v>0</v>
      </c>
      <c r="BL47" s="419">
        <f>SUM('26:25'!BL47)</f>
        <v>0</v>
      </c>
      <c r="BM47" s="419">
        <f>SUM('26:25'!BM47)</f>
        <v>0</v>
      </c>
      <c r="BN47" s="419">
        <f>SUM('26:25'!BN47)</f>
        <v>0</v>
      </c>
      <c r="BO47" s="419">
        <f>SUM('26:25'!BO47)</f>
        <v>0</v>
      </c>
      <c r="BP47" s="419">
        <f>SUM('26:25'!BP47)</f>
        <v>0</v>
      </c>
      <c r="BQ47" s="419">
        <f>SUM('26:25'!BQ47)</f>
        <v>0</v>
      </c>
      <c r="BR47" s="419">
        <f>SUM('26:25'!BR47)</f>
        <v>0</v>
      </c>
      <c r="BS47" s="419">
        <f>SUM('26:25'!BS47)</f>
        <v>0</v>
      </c>
      <c r="BT47" s="419">
        <f>SUM('26:25'!BT47)</f>
        <v>0</v>
      </c>
      <c r="BU47" s="419">
        <f>SUM('26:25'!BU47)</f>
        <v>0</v>
      </c>
      <c r="BV47" s="419">
        <f>SUM('26:25'!BV47)</f>
        <v>0</v>
      </c>
      <c r="BW47" s="419">
        <f>SUM('26:25'!BW47)</f>
        <v>0</v>
      </c>
      <c r="BX47" s="819">
        <f t="shared" si="1"/>
        <v>0</v>
      </c>
    </row>
    <row r="48" spans="1:84" ht="19.5" customHeight="1">
      <c r="A48" s="418"/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>
        <f>SUM('26:25'!E48)</f>
        <v>0</v>
      </c>
      <c r="F48" s="419">
        <f>SUM('26:25'!F48)</f>
        <v>0</v>
      </c>
      <c r="G48" s="419">
        <f>SUM('26:25'!G48)</f>
        <v>0</v>
      </c>
      <c r="H48" s="419">
        <f>SUM('26:25'!H48)</f>
        <v>0</v>
      </c>
      <c r="I48" s="419">
        <f>SUM('26:25'!I48)</f>
        <v>0</v>
      </c>
      <c r="J48" s="419">
        <f>SUM('26:25'!J48)</f>
        <v>0</v>
      </c>
      <c r="K48" s="419">
        <f>SUM('26:25'!K48)</f>
        <v>0</v>
      </c>
      <c r="L48" s="419">
        <f>SUM('26:25'!L48)</f>
        <v>0</v>
      </c>
      <c r="M48" s="419">
        <f>SUM('26:25'!M48)</f>
        <v>0</v>
      </c>
      <c r="N48" s="419">
        <f>SUM('26:25'!N48)</f>
        <v>0</v>
      </c>
      <c r="O48" s="419">
        <f>SUM('26:25'!O48)</f>
        <v>0</v>
      </c>
      <c r="P48" s="419">
        <f>SUM('26:25'!P48)</f>
        <v>0</v>
      </c>
      <c r="Q48" s="419">
        <f>SUM('26:25'!Q48)</f>
        <v>0</v>
      </c>
      <c r="R48" s="419">
        <f>SUM('26:25'!R48)</f>
        <v>0</v>
      </c>
      <c r="S48" s="419">
        <f>SUM('26:25'!S48)</f>
        <v>0</v>
      </c>
      <c r="T48" s="419">
        <f>SUM('26:25'!T48)</f>
        <v>0</v>
      </c>
      <c r="U48" s="593"/>
      <c r="V48" s="419">
        <f>SUM('26:25'!V48)</f>
        <v>0</v>
      </c>
      <c r="W48" s="419">
        <f>SUM('26:25'!W48)</f>
        <v>0</v>
      </c>
      <c r="X48" s="419">
        <f>SUM('26:25'!X48)</f>
        <v>0</v>
      </c>
      <c r="Y48" s="419">
        <f>SUM('26:25'!Y48)</f>
        <v>0</v>
      </c>
      <c r="Z48" s="419">
        <f>SUM('26:25'!Z48)</f>
        <v>0</v>
      </c>
      <c r="AA48" s="419">
        <f>SUM('26:25'!AA48)</f>
        <v>0</v>
      </c>
      <c r="AB48" s="419">
        <f>SUM('26:25'!AB48)</f>
        <v>0</v>
      </c>
      <c r="AC48" s="419">
        <f>SUM('26:25'!AC48)</f>
        <v>0</v>
      </c>
      <c r="AD48" s="419">
        <f>SUM('26:25'!AD48)</f>
        <v>0</v>
      </c>
      <c r="AE48" s="419">
        <f>SUM('26:25'!AE48)</f>
        <v>0</v>
      </c>
      <c r="AF48" s="419">
        <f>SUM('26:25'!AF48)</f>
        <v>0</v>
      </c>
      <c r="AG48" s="419">
        <f>SUM('26:25'!AG48)</f>
        <v>0</v>
      </c>
      <c r="AH48" s="419">
        <f>SUM('26:25'!AH48)</f>
        <v>0</v>
      </c>
      <c r="AI48" s="419">
        <f>SUM('26:25'!AI48)</f>
        <v>0</v>
      </c>
      <c r="AJ48" s="419">
        <f>SUM('26:25'!AJ48)</f>
        <v>0</v>
      </c>
      <c r="AK48" s="593"/>
      <c r="AL48" s="419">
        <f>SUM('26:25'!AL48)</f>
        <v>0</v>
      </c>
      <c r="AM48" s="419">
        <f>SUM('26:25'!AM48)</f>
        <v>0</v>
      </c>
      <c r="AN48" s="419">
        <f>SUM('26:25'!AN48)</f>
        <v>0</v>
      </c>
      <c r="AO48" s="419">
        <f>SUM('26:25'!AO48)</f>
        <v>0</v>
      </c>
      <c r="AP48" s="597"/>
      <c r="AQ48" s="419">
        <f>SUM('26:25'!AQ48)</f>
        <v>0</v>
      </c>
      <c r="AR48" s="419">
        <f>SUM('26:25'!AR48)</f>
        <v>0</v>
      </c>
      <c r="AS48" s="419">
        <f>SUM('26:25'!AS48)</f>
        <v>0</v>
      </c>
      <c r="AT48" s="419">
        <f>SUM('26:25'!AT48)</f>
        <v>0</v>
      </c>
      <c r="AU48" s="419">
        <f>SUM('26:25'!AU48)</f>
        <v>0</v>
      </c>
      <c r="AV48" s="419">
        <f>SUM('26:25'!AV48)</f>
        <v>0</v>
      </c>
      <c r="AW48" s="419">
        <f>SUM('26:25'!AW48)</f>
        <v>0</v>
      </c>
      <c r="AX48" s="419">
        <f>SUM('26:25'!AX48)</f>
        <v>0</v>
      </c>
      <c r="AY48" s="419">
        <f>SUM('26:25'!AY48)</f>
        <v>0</v>
      </c>
      <c r="AZ48" s="419">
        <f>SUM('26:25'!AZ48)</f>
        <v>0</v>
      </c>
      <c r="BA48" s="419">
        <f>SUM('26:25'!BA48)</f>
        <v>0</v>
      </c>
      <c r="BB48" s="419">
        <f>SUM('26:25'!BB48)</f>
        <v>0</v>
      </c>
      <c r="BC48" s="419">
        <f>SUM('26:25'!BC48)</f>
        <v>0</v>
      </c>
      <c r="BD48" s="593"/>
      <c r="BE48" s="419">
        <f>SUM('26:25'!BE48)</f>
        <v>0</v>
      </c>
      <c r="BF48" s="419">
        <f>SUM('26:25'!BF48)</f>
        <v>0</v>
      </c>
      <c r="BG48" s="419">
        <f>SUM('26:25'!BG48)</f>
        <v>0</v>
      </c>
      <c r="BH48" s="419">
        <f>SUM('26:25'!BH48)</f>
        <v>0</v>
      </c>
      <c r="BI48" s="593"/>
      <c r="BJ48" s="419">
        <f>SUM('26:25'!BJ48)</f>
        <v>0</v>
      </c>
      <c r="BK48" s="419">
        <f>SUM('26:25'!BK48)</f>
        <v>0</v>
      </c>
      <c r="BL48" s="419">
        <f>SUM('26:25'!BL48)</f>
        <v>0</v>
      </c>
      <c r="BM48" s="419">
        <f>SUM('26:25'!BM48)</f>
        <v>0</v>
      </c>
      <c r="BN48" s="419">
        <f>SUM('26:25'!BN48)</f>
        <v>0</v>
      </c>
      <c r="BO48" s="419">
        <f>SUM('26:25'!BO48)</f>
        <v>0</v>
      </c>
      <c r="BP48" s="419">
        <f>SUM('26:25'!BP48)</f>
        <v>0</v>
      </c>
      <c r="BQ48" s="419">
        <f>SUM('26:25'!BQ48)</f>
        <v>0</v>
      </c>
      <c r="BR48" s="419">
        <f>SUM('26:25'!BR48)</f>
        <v>0</v>
      </c>
      <c r="BS48" s="419">
        <f>SUM('26:25'!BS48)</f>
        <v>0</v>
      </c>
      <c r="BT48" s="419">
        <f>SUM('26:25'!BT48)</f>
        <v>0</v>
      </c>
      <c r="BU48" s="419">
        <f>SUM('26:25'!BU48)</f>
        <v>0</v>
      </c>
      <c r="BV48" s="419">
        <f>SUM('26:25'!BV48)</f>
        <v>0</v>
      </c>
      <c r="BW48" s="419">
        <f>SUM('26:25'!BW48)</f>
        <v>0</v>
      </c>
      <c r="BX48" s="819">
        <f t="shared" ref="BX48" si="3">SUM(E48:BW48)</f>
        <v>0</v>
      </c>
    </row>
    <row r="49" spans="1:84" ht="19.5" customHeight="1">
      <c r="A49" s="418"/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  <c r="E49" s="419">
        <f>SUM('26:25'!E49)</f>
        <v>0</v>
      </c>
      <c r="F49" s="419">
        <f>SUM('26:25'!F49)</f>
        <v>0</v>
      </c>
      <c r="G49" s="419">
        <f>SUM('26:25'!G49)</f>
        <v>0</v>
      </c>
      <c r="H49" s="419">
        <f>SUM('26:25'!H49)</f>
        <v>0</v>
      </c>
      <c r="I49" s="419">
        <f>SUM('26:25'!I49)</f>
        <v>0</v>
      </c>
      <c r="J49" s="419">
        <f>SUM('26:25'!J49)</f>
        <v>0</v>
      </c>
      <c r="K49" s="419">
        <f>SUM('26:25'!K49)</f>
        <v>0</v>
      </c>
      <c r="L49" s="419">
        <f>SUM('26:25'!L49)</f>
        <v>0</v>
      </c>
      <c r="M49" s="419">
        <f>SUM('26:25'!M49)</f>
        <v>0</v>
      </c>
      <c r="N49" s="419">
        <f>SUM('26:25'!N49)</f>
        <v>0</v>
      </c>
      <c r="O49" s="419">
        <f>SUM('26:25'!O49)</f>
        <v>0</v>
      </c>
      <c r="P49" s="419">
        <f>SUM('26:25'!P49)</f>
        <v>0</v>
      </c>
      <c r="Q49" s="419">
        <f>SUM('26:25'!Q49)</f>
        <v>0</v>
      </c>
      <c r="R49" s="419">
        <f>SUM('26:25'!R49)</f>
        <v>0</v>
      </c>
      <c r="S49" s="419">
        <f>SUM('26:25'!S49)</f>
        <v>0</v>
      </c>
      <c r="T49" s="419">
        <f>SUM('26:25'!T49)</f>
        <v>0</v>
      </c>
      <c r="U49" s="593"/>
      <c r="V49" s="419">
        <f>SUM('26:25'!V49)</f>
        <v>0</v>
      </c>
      <c r="W49" s="419">
        <f>SUM('26:25'!W49)</f>
        <v>0</v>
      </c>
      <c r="X49" s="419">
        <f>SUM('26:25'!X49)</f>
        <v>0</v>
      </c>
      <c r="Y49" s="419">
        <f>SUM('26:25'!Y49)</f>
        <v>0</v>
      </c>
      <c r="Z49" s="419">
        <f>SUM('26:25'!Z49)</f>
        <v>0</v>
      </c>
      <c r="AA49" s="419">
        <f>SUM('26:25'!AA49)</f>
        <v>0</v>
      </c>
      <c r="AB49" s="419">
        <f>SUM('26:25'!AB49)</f>
        <v>0</v>
      </c>
      <c r="AC49" s="419">
        <f>SUM('26:25'!AC49)</f>
        <v>0</v>
      </c>
      <c r="AD49" s="419">
        <f>SUM('26:25'!AD49)</f>
        <v>0</v>
      </c>
      <c r="AE49" s="419">
        <f>SUM('26:25'!AE49)</f>
        <v>0</v>
      </c>
      <c r="AF49" s="419">
        <f>SUM('26:25'!AF49)</f>
        <v>0</v>
      </c>
      <c r="AG49" s="419">
        <f>SUM('26:25'!AG49)</f>
        <v>0</v>
      </c>
      <c r="AH49" s="419">
        <f>SUM('26:25'!AH49)</f>
        <v>0</v>
      </c>
      <c r="AI49" s="419">
        <f>SUM('26:25'!AI49)</f>
        <v>0</v>
      </c>
      <c r="AJ49" s="419">
        <f>SUM('26:25'!AJ49)</f>
        <v>0</v>
      </c>
      <c r="AK49" s="593"/>
      <c r="AL49" s="419">
        <f>SUM('26:25'!AL49)</f>
        <v>0</v>
      </c>
      <c r="AM49" s="419">
        <f>SUM('26:25'!AM49)</f>
        <v>0</v>
      </c>
      <c r="AN49" s="419">
        <f>SUM('26:25'!AN49)</f>
        <v>0</v>
      </c>
      <c r="AO49" s="419">
        <f>SUM('26:25'!AO49)</f>
        <v>0</v>
      </c>
      <c r="AP49" s="597"/>
      <c r="AQ49" s="419">
        <f>SUM('26:25'!AQ49)</f>
        <v>0</v>
      </c>
      <c r="AR49" s="419">
        <f>SUM('26:25'!AR49)</f>
        <v>0</v>
      </c>
      <c r="AS49" s="419">
        <f>SUM('26:25'!AS49)</f>
        <v>0</v>
      </c>
      <c r="AT49" s="419">
        <f>SUM('26:25'!AT49)</f>
        <v>0</v>
      </c>
      <c r="AU49" s="419">
        <f>SUM('26:25'!AU49)</f>
        <v>0</v>
      </c>
      <c r="AV49" s="419">
        <f>SUM('26:25'!AV49)</f>
        <v>0</v>
      </c>
      <c r="AW49" s="419">
        <f>SUM('26:25'!AW49)</f>
        <v>0</v>
      </c>
      <c r="AX49" s="419">
        <f>SUM('26:25'!AX49)</f>
        <v>0</v>
      </c>
      <c r="AY49" s="419">
        <f>SUM('26:25'!AY49)</f>
        <v>0</v>
      </c>
      <c r="AZ49" s="419">
        <f>SUM('26:25'!AZ49)</f>
        <v>0</v>
      </c>
      <c r="BA49" s="419">
        <f>SUM('26:25'!BA49)</f>
        <v>0</v>
      </c>
      <c r="BB49" s="419">
        <f>SUM('26:25'!BB49)</f>
        <v>0</v>
      </c>
      <c r="BC49" s="419">
        <f>SUM('26:25'!BC49)</f>
        <v>0</v>
      </c>
      <c r="BD49" s="593"/>
      <c r="BE49" s="419">
        <f>SUM('26:25'!BE49)</f>
        <v>0</v>
      </c>
      <c r="BF49" s="419">
        <f>SUM('26:25'!BF49)</f>
        <v>0</v>
      </c>
      <c r="BG49" s="419">
        <f>SUM('26:25'!BG49)</f>
        <v>0</v>
      </c>
      <c r="BH49" s="419">
        <f>SUM('26:25'!BH49)</f>
        <v>0</v>
      </c>
      <c r="BI49" s="593"/>
      <c r="BJ49" s="419">
        <f>SUM('26:25'!BJ49)</f>
        <v>0</v>
      </c>
      <c r="BK49" s="419">
        <f>SUM('26:25'!BK49)</f>
        <v>0</v>
      </c>
      <c r="BL49" s="419">
        <f>SUM('26:25'!BL49)</f>
        <v>0</v>
      </c>
      <c r="BM49" s="419">
        <f>SUM('26:25'!BM49)</f>
        <v>0</v>
      </c>
      <c r="BN49" s="419">
        <f>SUM('26:25'!BN49)</f>
        <v>0</v>
      </c>
      <c r="BO49" s="419">
        <f>SUM('26:25'!BO49)</f>
        <v>0</v>
      </c>
      <c r="BP49" s="419">
        <f>SUM('26:25'!BP49)</f>
        <v>0</v>
      </c>
      <c r="BQ49" s="419">
        <f>SUM('26:25'!BQ49)</f>
        <v>0</v>
      </c>
      <c r="BR49" s="419">
        <f>SUM('26:25'!BR49)</f>
        <v>0</v>
      </c>
      <c r="BS49" s="419">
        <f>SUM('26:25'!BS49)</f>
        <v>0</v>
      </c>
      <c r="BT49" s="419">
        <f>SUM('26:25'!BT49)</f>
        <v>0</v>
      </c>
      <c r="BU49" s="419">
        <f>SUM('26:25'!BU49)</f>
        <v>0</v>
      </c>
      <c r="BV49" s="419">
        <f>SUM('26:25'!BV49)</f>
        <v>0</v>
      </c>
      <c r="BW49" s="419">
        <f>SUM('26:25'!BW49)</f>
        <v>0</v>
      </c>
      <c r="BX49" s="819"/>
    </row>
    <row r="50" spans="1:84" s="402" customFormat="1" ht="13.8">
      <c r="A50" s="418"/>
      <c r="B50" s="565"/>
      <c r="C50" s="565"/>
      <c r="D50" s="566"/>
      <c r="E50" s="566"/>
      <c r="F50" s="566"/>
      <c r="G50" s="567">
        <f>'đơn giá'!I23</f>
        <v>56.895766954938551</v>
      </c>
      <c r="H50" s="567">
        <f>'đơn giá'!I24</f>
        <v>123.2741617357002</v>
      </c>
      <c r="I50" s="567">
        <f>'đơn giá'!I25</f>
        <v>336.20225927918233</v>
      </c>
      <c r="J50" s="567">
        <f>'đơn giá'!I26</f>
        <v>336.20225927918233</v>
      </c>
      <c r="K50" s="567">
        <f>'đơn giá'!I27</f>
        <v>710.05917159763305</v>
      </c>
      <c r="L50" s="567">
        <f>'đơn giá'!I28</f>
        <v>18.965255651646185</v>
      </c>
      <c r="M50" s="567">
        <f>'đơn giá'!I29</f>
        <v>18.965255651646185</v>
      </c>
      <c r="N50" s="567">
        <f>'đơn giá'!I30</f>
        <v>37.93051130329237</v>
      </c>
      <c r="O50" s="567">
        <f>'đơn giá'!I31</f>
        <v>56.895766954938551</v>
      </c>
      <c r="P50" s="567">
        <f>'đơn giá'!I32</f>
        <v>493.09664694280082</v>
      </c>
      <c r="Q50" s="567">
        <f>'đơn giá'!I33</f>
        <v>591.71597633136093</v>
      </c>
      <c r="R50" s="567">
        <f>'đơn giá'!I34</f>
        <v>710.05917159763305</v>
      </c>
      <c r="S50" s="567">
        <f>'đơn giá'!I35</f>
        <v>710.05917159763305</v>
      </c>
      <c r="T50" s="567">
        <f>'đơn giá'!I36</f>
        <v>18.965255651646185</v>
      </c>
      <c r="U50" s="594"/>
      <c r="V50" s="97">
        <f>'đơn giá'!I5</f>
        <v>238.39796567069297</v>
      </c>
      <c r="W50" s="97">
        <f>'đơn giá'!I6</f>
        <v>291.3752913752914</v>
      </c>
      <c r="X50" s="97">
        <f>'đơn giá'!I7</f>
        <v>476.79593134138594</v>
      </c>
      <c r="Y50" s="97">
        <f>'đơn giá'!I8</f>
        <v>437.06293706293707</v>
      </c>
      <c r="Z50" s="97">
        <f>'đơn giá'!I9</f>
        <v>819.49300699300704</v>
      </c>
      <c r="AA50" s="97">
        <f>'đơn giá'!I10</f>
        <v>819.49300699300704</v>
      </c>
      <c r="AB50" s="97">
        <f>'đơn giá'!I11</f>
        <v>1456.8764568764568</v>
      </c>
      <c r="AC50" s="97">
        <f>'đơn giá'!I12</f>
        <v>228.03283672848892</v>
      </c>
      <c r="AD50" s="97">
        <f>'đơn giá'!I13</f>
        <v>209.79020979020981</v>
      </c>
      <c r="AE50" s="97">
        <f>'đơn giá'!I14</f>
        <v>262.2377622377623</v>
      </c>
      <c r="AF50" s="97">
        <f>'đơn giá'!I15</f>
        <v>228.03283672848892</v>
      </c>
      <c r="AG50" s="97">
        <f>'đơn giá'!I16</f>
        <v>936.56343656343665</v>
      </c>
      <c r="AH50" s="97">
        <f>'đơn giá'!I17</f>
        <v>1596.2298570994226</v>
      </c>
      <c r="AI50" s="97">
        <f>'đơn giá'!I18</f>
        <v>1835.664335664336</v>
      </c>
      <c r="AJ50" s="97">
        <f>'đơn giá'!I19</f>
        <v>2039.6270396270395</v>
      </c>
      <c r="AK50" s="594"/>
      <c r="AL50" s="398">
        <f>'đơn giá'!I52</f>
        <v>15.576923076923077</v>
      </c>
      <c r="AM50" s="398">
        <f>'đơn giá'!I53</f>
        <v>15.576923076923077</v>
      </c>
      <c r="AN50" s="399">
        <f>'đơn giá'!I54</f>
        <v>15.576923076923077</v>
      </c>
      <c r="AO50" s="399">
        <f>'đơn giá'!I55</f>
        <v>15.576923076923077</v>
      </c>
      <c r="AP50" s="598"/>
      <c r="AQ50" s="400">
        <f>'[4]đơn giá'!I39</f>
        <v>35478.806907378334</v>
      </c>
      <c r="AR50" s="400">
        <f>'[4]đơn giá'!I40</f>
        <v>34536.89167974882</v>
      </c>
      <c r="AS50" s="400">
        <f>'[4]đơn giá'!I41</f>
        <v>34536.89167974882</v>
      </c>
      <c r="AT50" s="400">
        <f>'[4]đơn giá'!I42</f>
        <v>31397.174254317109</v>
      </c>
      <c r="AU50" s="400">
        <f>'[4]đơn giá'!I43</f>
        <v>31397.174254317109</v>
      </c>
      <c r="AV50" s="400">
        <f>'[4]đơn giá'!I44</f>
        <v>36420.722135007854</v>
      </c>
      <c r="AW50" s="400">
        <f>'[4]đơn giá'!I45</f>
        <v>37362.637362637361</v>
      </c>
      <c r="AX50" s="400">
        <f>'[4]đơn giá'!I46</f>
        <v>36420.722135007854</v>
      </c>
      <c r="AY50" s="400">
        <f>'[4]đơn giá'!I47</f>
        <v>36420.722135007854</v>
      </c>
      <c r="AZ50" s="400">
        <f>'[4]đơn giá'!I48</f>
        <v>33281.00470957614</v>
      </c>
      <c r="BA50" s="400">
        <f>'[4]đơn giá'!I49</f>
        <v>33281.00470957614</v>
      </c>
      <c r="BB50" s="400">
        <f>'[4]đơn giá'!I50</f>
        <v>39246.467817896388</v>
      </c>
      <c r="BC50" s="400">
        <f>'[4]đơn giá'!I51</f>
        <v>0</v>
      </c>
      <c r="BD50" s="594"/>
      <c r="BE50" s="400">
        <f>'đơn giá'!I57</f>
        <v>25000</v>
      </c>
      <c r="BF50" s="400">
        <f>'đơn giá'!I58</f>
        <v>25000</v>
      </c>
      <c r="BG50" s="400">
        <f>'đơn giá'!I59</f>
        <v>25000</v>
      </c>
      <c r="BH50" s="401"/>
      <c r="BI50" s="594"/>
      <c r="BJ50" s="563">
        <f>'đơn giá'!I61</f>
        <v>22596.153846153848</v>
      </c>
      <c r="BK50" s="563">
        <f>'đơn giá'!I62</f>
        <v>21634.615384615383</v>
      </c>
      <c r="BL50" s="563">
        <f>'đơn giá'!I63</f>
        <v>22596.153846153848</v>
      </c>
      <c r="BM50" s="563">
        <f>'đơn giá'!I64</f>
        <v>21634.615384615383</v>
      </c>
      <c r="BN50" s="563">
        <f>'đơn giá'!I65</f>
        <v>21634.615384615383</v>
      </c>
      <c r="BO50" s="563">
        <f>'đơn giá'!I66</f>
        <v>22596.153846153848</v>
      </c>
      <c r="BP50" s="563">
        <f>'đơn giá'!I67</f>
        <v>21634.615384615383</v>
      </c>
      <c r="BQ50" s="563">
        <f>'đơn giá'!I68</f>
        <v>22596.153846153848</v>
      </c>
      <c r="BR50" s="563">
        <f>'đơn giá'!I69</f>
        <v>22596.153846153848</v>
      </c>
      <c r="BS50" s="563">
        <f>'đơn giá'!I70</f>
        <v>21634.615384615383</v>
      </c>
      <c r="BT50" s="563">
        <f>'đơn giá'!I71</f>
        <v>24038.461538461539</v>
      </c>
      <c r="BU50" s="563">
        <f>'đơn giá'!I72</f>
        <v>22596.153846153848</v>
      </c>
      <c r="BV50" s="563">
        <f>'đơn giá'!I73</f>
        <v>27403.846153846152</v>
      </c>
      <c r="BW50" s="563">
        <f>'đơn giá'!I74</f>
        <v>27403.846153846152</v>
      </c>
      <c r="BX50" s="600"/>
      <c r="CD50" s="403"/>
      <c r="CE50" s="404"/>
      <c r="CF50" s="404"/>
    </row>
    <row r="51" spans="1:84" s="83" customFormat="1" ht="12">
      <c r="A51" s="418"/>
      <c r="B51" s="568"/>
      <c r="C51" s="568"/>
      <c r="D51" s="569"/>
      <c r="E51" s="570"/>
      <c r="F51" s="571"/>
      <c r="G51" s="571"/>
      <c r="H51" s="571"/>
      <c r="I51" s="571"/>
      <c r="J51" s="571"/>
      <c r="K51" s="571"/>
      <c r="L51" s="571"/>
      <c r="M51" s="571"/>
      <c r="N51" s="571"/>
      <c r="O51" s="571"/>
      <c r="P51" s="571"/>
      <c r="Q51" s="571"/>
      <c r="R51" s="571"/>
      <c r="S51" s="572"/>
      <c r="T51" s="573"/>
      <c r="U51" s="593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593"/>
      <c r="AL51" s="89"/>
      <c r="AM51" s="89"/>
      <c r="AN51" s="396"/>
      <c r="AO51" s="396"/>
      <c r="AP51" s="597"/>
      <c r="AQ51" s="353"/>
      <c r="AR51" s="353"/>
      <c r="AS51" s="353">
        <f>35*1.5</f>
        <v>52.5</v>
      </c>
      <c r="AT51" s="353"/>
      <c r="AU51" s="353"/>
      <c r="AV51" s="353"/>
      <c r="AW51" s="347"/>
      <c r="AX51" s="347"/>
      <c r="AY51" s="347"/>
      <c r="AZ51" s="347"/>
      <c r="BA51" s="347"/>
      <c r="BB51" s="347"/>
      <c r="BC51" s="356"/>
      <c r="BD51" s="593"/>
      <c r="BE51" s="90"/>
      <c r="BF51" s="90"/>
      <c r="BG51" s="90"/>
      <c r="BH51" s="91"/>
      <c r="BI51" s="593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599"/>
      <c r="BY51" s="98"/>
    </row>
    <row r="52" spans="1:84" ht="15" customHeight="1">
      <c r="A52" s="418"/>
      <c r="B52" s="92"/>
      <c r="C52" s="92" t="s">
        <v>293</v>
      </c>
      <c r="D52" s="93"/>
      <c r="E52" s="1041" t="s">
        <v>302</v>
      </c>
      <c r="F52" s="1042"/>
      <c r="G52" s="1042"/>
      <c r="H52" s="1042"/>
      <c r="I52" s="1042"/>
      <c r="J52" s="1042"/>
      <c r="K52" s="1042"/>
      <c r="L52" s="1042"/>
      <c r="M52" s="1042"/>
      <c r="N52" s="1042"/>
      <c r="O52" s="1042"/>
      <c r="P52" s="1042"/>
      <c r="Q52" s="1042"/>
      <c r="R52" s="1042"/>
      <c r="S52" s="1042"/>
      <c r="T52" s="1043"/>
      <c r="U52" s="593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593"/>
      <c r="AL52" s="95"/>
      <c r="AM52" s="94"/>
      <c r="AN52" s="397"/>
      <c r="AO52" s="397"/>
      <c r="AP52" s="597"/>
      <c r="AQ52" s="350"/>
      <c r="AR52" s="351"/>
      <c r="AS52" s="352"/>
      <c r="AT52" s="351"/>
      <c r="AU52" s="352"/>
      <c r="AV52" s="352"/>
      <c r="AW52" s="344"/>
      <c r="AX52" s="345"/>
      <c r="AY52" s="346"/>
      <c r="AZ52" s="345"/>
      <c r="BA52" s="346"/>
      <c r="BB52" s="346"/>
      <c r="BC52" s="355"/>
      <c r="BD52" s="593"/>
      <c r="BE52" s="94"/>
      <c r="BF52" s="94"/>
      <c r="BG52" s="94"/>
      <c r="BH52" s="94"/>
      <c r="BI52" s="593"/>
      <c r="BJ52" s="94"/>
      <c r="BK52" s="94"/>
      <c r="BL52" s="94"/>
      <c r="BM52" s="94"/>
      <c r="BN52" s="94"/>
      <c r="BO52" s="94"/>
      <c r="BP52" s="94"/>
      <c r="BQ52" s="94"/>
      <c r="BR52" s="94"/>
      <c r="BS52" s="94"/>
      <c r="BT52" s="94"/>
      <c r="BU52" s="94"/>
      <c r="BV52" s="94"/>
      <c r="BW52" s="94"/>
      <c r="BX52" s="599"/>
      <c r="BY52" s="99"/>
      <c r="CD52" s="83"/>
      <c r="CE52" s="83"/>
      <c r="CF52" s="83"/>
    </row>
    <row r="53" spans="1:84" ht="22.8">
      <c r="A53" s="418">
        <f t="shared" ref="A53:D60" si="4">A6</f>
        <v>1</v>
      </c>
      <c r="B53" s="96" t="str">
        <f t="shared" si="4"/>
        <v>NV01</v>
      </c>
      <c r="C53" s="96" t="str">
        <f t="shared" si="4"/>
        <v>Nguyễn Trọng Minh</v>
      </c>
      <c r="D53" s="96" t="str">
        <f t="shared" si="4"/>
        <v>Đội trưởng XLB</v>
      </c>
      <c r="E53" s="84">
        <f t="shared" ref="E53:T53" si="5">E6*E$50</f>
        <v>0</v>
      </c>
      <c r="F53" s="84">
        <f t="shared" si="5"/>
        <v>0</v>
      </c>
      <c r="G53" s="84">
        <f t="shared" si="5"/>
        <v>0</v>
      </c>
      <c r="H53" s="84">
        <f t="shared" si="5"/>
        <v>0</v>
      </c>
      <c r="I53" s="84">
        <f t="shared" si="5"/>
        <v>0</v>
      </c>
      <c r="J53" s="84">
        <f t="shared" si="5"/>
        <v>0</v>
      </c>
      <c r="K53" s="84">
        <f t="shared" si="5"/>
        <v>0</v>
      </c>
      <c r="L53" s="84">
        <f t="shared" si="5"/>
        <v>0</v>
      </c>
      <c r="M53" s="84">
        <f t="shared" si="5"/>
        <v>0</v>
      </c>
      <c r="N53" s="84">
        <f t="shared" si="5"/>
        <v>0</v>
      </c>
      <c r="O53" s="84">
        <f t="shared" si="5"/>
        <v>0</v>
      </c>
      <c r="P53" s="84">
        <f t="shared" si="5"/>
        <v>0</v>
      </c>
      <c r="Q53" s="84">
        <f t="shared" si="5"/>
        <v>0</v>
      </c>
      <c r="R53" s="84">
        <f t="shared" si="5"/>
        <v>0</v>
      </c>
      <c r="S53" s="84">
        <f t="shared" si="5"/>
        <v>0</v>
      </c>
      <c r="T53" s="84">
        <f t="shared" si="5"/>
        <v>0</v>
      </c>
      <c r="U53" s="593"/>
      <c r="V53" s="84">
        <f t="shared" ref="V53:AJ53" si="6">V6*V$50</f>
        <v>0</v>
      </c>
      <c r="W53" s="84">
        <f t="shared" si="6"/>
        <v>0</v>
      </c>
      <c r="X53" s="84">
        <f t="shared" si="6"/>
        <v>0</v>
      </c>
      <c r="Y53" s="84">
        <f t="shared" si="6"/>
        <v>0</v>
      </c>
      <c r="Z53" s="84">
        <f t="shared" si="6"/>
        <v>0</v>
      </c>
      <c r="AA53" s="84">
        <f t="shared" si="6"/>
        <v>0</v>
      </c>
      <c r="AB53" s="84">
        <f t="shared" si="6"/>
        <v>0</v>
      </c>
      <c r="AC53" s="84">
        <f t="shared" si="6"/>
        <v>0</v>
      </c>
      <c r="AD53" s="84">
        <f t="shared" si="6"/>
        <v>0</v>
      </c>
      <c r="AE53" s="84">
        <f t="shared" si="6"/>
        <v>0</v>
      </c>
      <c r="AF53" s="84">
        <f t="shared" si="6"/>
        <v>0</v>
      </c>
      <c r="AG53" s="84">
        <f t="shared" si="6"/>
        <v>0</v>
      </c>
      <c r="AH53" s="84">
        <f t="shared" si="6"/>
        <v>0</v>
      </c>
      <c r="AI53" s="84">
        <f t="shared" si="6"/>
        <v>0</v>
      </c>
      <c r="AJ53" s="84">
        <f t="shared" si="6"/>
        <v>0</v>
      </c>
      <c r="AK53" s="593"/>
      <c r="AL53" s="84">
        <f t="shared" ref="AL53:AO53" si="7">AL6*AL$50</f>
        <v>0</v>
      </c>
      <c r="AM53" s="84">
        <f t="shared" si="7"/>
        <v>0</v>
      </c>
      <c r="AN53" s="84">
        <f t="shared" si="7"/>
        <v>0</v>
      </c>
      <c r="AO53" s="84">
        <f t="shared" si="7"/>
        <v>0</v>
      </c>
      <c r="AP53" s="597"/>
      <c r="AQ53" s="332">
        <f>AQ6*AQ$50</f>
        <v>0</v>
      </c>
      <c r="AR53" s="332">
        <f t="shared" ref="AR53:BC53" si="8">AR6*AR$50</f>
        <v>0</v>
      </c>
      <c r="AS53" s="332">
        <f t="shared" si="8"/>
        <v>0</v>
      </c>
      <c r="AT53" s="332">
        <f t="shared" si="8"/>
        <v>0</v>
      </c>
      <c r="AU53" s="332">
        <f t="shared" si="8"/>
        <v>0</v>
      </c>
      <c r="AV53" s="332">
        <f t="shared" si="8"/>
        <v>0</v>
      </c>
      <c r="AW53" s="306">
        <f t="shared" si="8"/>
        <v>0</v>
      </c>
      <c r="AX53" s="306">
        <f t="shared" si="8"/>
        <v>0</v>
      </c>
      <c r="AY53" s="306">
        <f t="shared" si="8"/>
        <v>0</v>
      </c>
      <c r="AZ53" s="306">
        <f t="shared" si="8"/>
        <v>0</v>
      </c>
      <c r="BA53" s="306">
        <f t="shared" si="8"/>
        <v>0</v>
      </c>
      <c r="BB53" s="306">
        <f t="shared" si="8"/>
        <v>0</v>
      </c>
      <c r="BC53" s="306">
        <f t="shared" si="8"/>
        <v>0</v>
      </c>
      <c r="BD53" s="593"/>
      <c r="BE53" s="84">
        <f t="shared" ref="BE53:BH53" si="9">BE6*BE$50</f>
        <v>0</v>
      </c>
      <c r="BF53" s="84">
        <f t="shared" si="9"/>
        <v>0</v>
      </c>
      <c r="BG53" s="84">
        <f t="shared" si="9"/>
        <v>0</v>
      </c>
      <c r="BH53" s="84">
        <f t="shared" si="9"/>
        <v>0</v>
      </c>
      <c r="BI53" s="593"/>
      <c r="BJ53" s="84">
        <f t="shared" ref="BJ53:BW53" si="10">BJ6*BJ$50/60</f>
        <v>0</v>
      </c>
      <c r="BK53" s="84">
        <f t="shared" si="10"/>
        <v>0</v>
      </c>
      <c r="BL53" s="84">
        <f t="shared" si="10"/>
        <v>0</v>
      </c>
      <c r="BM53" s="84">
        <f t="shared" si="10"/>
        <v>0</v>
      </c>
      <c r="BN53" s="84">
        <f t="shared" si="10"/>
        <v>0</v>
      </c>
      <c r="BO53" s="84">
        <f t="shared" si="10"/>
        <v>0</v>
      </c>
      <c r="BP53" s="84">
        <f t="shared" si="10"/>
        <v>0</v>
      </c>
      <c r="BQ53" s="84">
        <f t="shared" si="10"/>
        <v>0</v>
      </c>
      <c r="BR53" s="84">
        <f t="shared" si="10"/>
        <v>0</v>
      </c>
      <c r="BS53" s="84">
        <f t="shared" si="10"/>
        <v>0</v>
      </c>
      <c r="BT53" s="84">
        <f t="shared" si="10"/>
        <v>0</v>
      </c>
      <c r="BU53" s="84">
        <f t="shared" si="10"/>
        <v>0</v>
      </c>
      <c r="BV53" s="84">
        <f t="shared" si="10"/>
        <v>0</v>
      </c>
      <c r="BW53" s="84">
        <f t="shared" si="10"/>
        <v>0</v>
      </c>
      <c r="BX53" s="599"/>
      <c r="BY53" s="100">
        <f>SUM(E53:BX53)</f>
        <v>0</v>
      </c>
      <c r="CC53" s="108"/>
      <c r="CD53" s="107"/>
      <c r="CE53" s="107"/>
      <c r="CF53" s="107"/>
    </row>
    <row r="54" spans="1:84">
      <c r="A54" s="418">
        <f t="shared" si="4"/>
        <v>2</v>
      </c>
      <c r="B54" s="96" t="str">
        <f t="shared" si="4"/>
        <v>NV02</v>
      </c>
      <c r="C54" s="96" t="str">
        <f t="shared" si="4"/>
        <v xml:space="preserve">Nguyễn Minh Tuấn </v>
      </c>
      <c r="D54" s="96" t="str">
        <f t="shared" si="4"/>
        <v xml:space="preserve">Công nhân </v>
      </c>
      <c r="E54" s="84">
        <f t="shared" ref="E54:T54" si="11">E7*E$50</f>
        <v>0</v>
      </c>
      <c r="F54" s="84">
        <f t="shared" si="11"/>
        <v>0</v>
      </c>
      <c r="G54" s="84">
        <f t="shared" si="11"/>
        <v>0</v>
      </c>
      <c r="H54" s="84">
        <f t="shared" si="11"/>
        <v>0</v>
      </c>
      <c r="I54" s="84">
        <f t="shared" si="11"/>
        <v>0</v>
      </c>
      <c r="J54" s="84">
        <f t="shared" si="11"/>
        <v>0</v>
      </c>
      <c r="K54" s="84">
        <f t="shared" si="11"/>
        <v>0</v>
      </c>
      <c r="L54" s="84">
        <f t="shared" si="11"/>
        <v>0</v>
      </c>
      <c r="M54" s="84">
        <f t="shared" si="11"/>
        <v>0</v>
      </c>
      <c r="N54" s="84">
        <f t="shared" si="11"/>
        <v>0</v>
      </c>
      <c r="O54" s="84">
        <f t="shared" si="11"/>
        <v>0</v>
      </c>
      <c r="P54" s="84">
        <f t="shared" si="11"/>
        <v>0</v>
      </c>
      <c r="Q54" s="84">
        <f t="shared" si="11"/>
        <v>0</v>
      </c>
      <c r="R54" s="84">
        <f t="shared" si="11"/>
        <v>0</v>
      </c>
      <c r="S54" s="84">
        <f t="shared" si="11"/>
        <v>0</v>
      </c>
      <c r="T54" s="84">
        <f t="shared" si="11"/>
        <v>0</v>
      </c>
      <c r="U54" s="593"/>
      <c r="V54" s="84">
        <f t="shared" ref="V54:AJ54" si="12">V7*V$50</f>
        <v>0</v>
      </c>
      <c r="W54" s="84">
        <f t="shared" si="12"/>
        <v>0</v>
      </c>
      <c r="X54" s="84">
        <f t="shared" si="12"/>
        <v>0</v>
      </c>
      <c r="Y54" s="84">
        <f t="shared" si="12"/>
        <v>0</v>
      </c>
      <c r="Z54" s="84">
        <f t="shared" si="12"/>
        <v>0</v>
      </c>
      <c r="AA54" s="84">
        <f t="shared" si="12"/>
        <v>0</v>
      </c>
      <c r="AB54" s="84">
        <f t="shared" si="12"/>
        <v>0</v>
      </c>
      <c r="AC54" s="84">
        <f t="shared" si="12"/>
        <v>0</v>
      </c>
      <c r="AD54" s="84">
        <f t="shared" si="12"/>
        <v>0</v>
      </c>
      <c r="AE54" s="84">
        <f t="shared" si="12"/>
        <v>0</v>
      </c>
      <c r="AF54" s="84">
        <f t="shared" si="12"/>
        <v>0</v>
      </c>
      <c r="AG54" s="84">
        <f t="shared" si="12"/>
        <v>0</v>
      </c>
      <c r="AH54" s="84">
        <f t="shared" si="12"/>
        <v>0</v>
      </c>
      <c r="AI54" s="84">
        <f t="shared" si="12"/>
        <v>0</v>
      </c>
      <c r="AJ54" s="84">
        <f t="shared" si="12"/>
        <v>0</v>
      </c>
      <c r="AK54" s="593"/>
      <c r="AL54" s="84">
        <f t="shared" ref="AL54:AO54" si="13">AL7*AL$50</f>
        <v>90034.61538461539</v>
      </c>
      <c r="AM54" s="84">
        <f t="shared" si="13"/>
        <v>33646.153846153844</v>
      </c>
      <c r="AN54" s="84">
        <f t="shared" si="13"/>
        <v>0</v>
      </c>
      <c r="AO54" s="84">
        <f t="shared" si="13"/>
        <v>98134.615384615376</v>
      </c>
      <c r="AP54" s="597"/>
      <c r="AQ54" s="332">
        <f t="shared" ref="AQ54:BC54" si="14">AQ7*AQ$50</f>
        <v>0</v>
      </c>
      <c r="AR54" s="332">
        <f t="shared" si="14"/>
        <v>0</v>
      </c>
      <c r="AS54" s="332">
        <f t="shared" si="14"/>
        <v>0</v>
      </c>
      <c r="AT54" s="332">
        <f t="shared" si="14"/>
        <v>0</v>
      </c>
      <c r="AU54" s="332">
        <f t="shared" si="14"/>
        <v>0</v>
      </c>
      <c r="AV54" s="332">
        <f t="shared" si="14"/>
        <v>0</v>
      </c>
      <c r="AW54" s="306">
        <f t="shared" si="14"/>
        <v>0</v>
      </c>
      <c r="AX54" s="306">
        <f t="shared" si="14"/>
        <v>0</v>
      </c>
      <c r="AY54" s="306">
        <f t="shared" si="14"/>
        <v>0</v>
      </c>
      <c r="AZ54" s="306">
        <f t="shared" si="14"/>
        <v>0</v>
      </c>
      <c r="BA54" s="306">
        <f t="shared" si="14"/>
        <v>0</v>
      </c>
      <c r="BB54" s="306">
        <f t="shared" si="14"/>
        <v>0</v>
      </c>
      <c r="BC54" s="306">
        <f t="shared" si="14"/>
        <v>0</v>
      </c>
      <c r="BD54" s="593"/>
      <c r="BE54" s="84">
        <f t="shared" ref="BE54:BH54" si="15">BE7*BE$50</f>
        <v>0</v>
      </c>
      <c r="BF54" s="84">
        <f t="shared" si="15"/>
        <v>0</v>
      </c>
      <c r="BG54" s="84">
        <f t="shared" si="15"/>
        <v>0</v>
      </c>
      <c r="BH54" s="84">
        <f t="shared" si="15"/>
        <v>0</v>
      </c>
      <c r="BI54" s="593"/>
      <c r="BJ54" s="84">
        <f t="shared" ref="BJ54:BW54" si="16">BJ7*BJ$50/60</f>
        <v>0</v>
      </c>
      <c r="BK54" s="84">
        <f t="shared" si="16"/>
        <v>0</v>
      </c>
      <c r="BL54" s="84">
        <f t="shared" si="16"/>
        <v>0</v>
      </c>
      <c r="BM54" s="84">
        <f t="shared" si="16"/>
        <v>0</v>
      </c>
      <c r="BN54" s="84">
        <f t="shared" si="16"/>
        <v>0</v>
      </c>
      <c r="BO54" s="84">
        <f t="shared" si="16"/>
        <v>0</v>
      </c>
      <c r="BP54" s="84">
        <f t="shared" si="16"/>
        <v>0</v>
      </c>
      <c r="BQ54" s="84">
        <f t="shared" si="16"/>
        <v>0</v>
      </c>
      <c r="BR54" s="84">
        <f t="shared" si="16"/>
        <v>22596.153846153848</v>
      </c>
      <c r="BS54" s="84">
        <f t="shared" si="16"/>
        <v>0</v>
      </c>
      <c r="BT54" s="84">
        <f t="shared" si="16"/>
        <v>0</v>
      </c>
      <c r="BU54" s="84">
        <f t="shared" si="16"/>
        <v>0</v>
      </c>
      <c r="BV54" s="84">
        <f t="shared" si="16"/>
        <v>0</v>
      </c>
      <c r="BW54" s="84">
        <f t="shared" si="16"/>
        <v>0</v>
      </c>
      <c r="BX54" s="599"/>
      <c r="BY54" s="100">
        <f t="shared" ref="BY54:BY96" si="17">SUM(E54:BX54)</f>
        <v>244411.53846153847</v>
      </c>
      <c r="CC54" s="108"/>
    </row>
    <row r="55" spans="1:84" s="201" customFormat="1">
      <c r="A55" s="418">
        <f t="shared" si="4"/>
        <v>5</v>
      </c>
      <c r="B55" s="96" t="str">
        <f t="shared" si="4"/>
        <v>NV05</v>
      </c>
      <c r="C55" s="96" t="str">
        <f t="shared" si="4"/>
        <v>Nguyễn Thanh Vạn</v>
      </c>
      <c r="D55" s="96" t="str">
        <f t="shared" si="4"/>
        <v xml:space="preserve">Công nhân </v>
      </c>
      <c r="E55" s="84">
        <f t="shared" ref="E55:T55" si="18">E8*E$50</f>
        <v>0</v>
      </c>
      <c r="F55" s="84">
        <f t="shared" si="18"/>
        <v>0</v>
      </c>
      <c r="G55" s="84">
        <f t="shared" si="18"/>
        <v>0</v>
      </c>
      <c r="H55" s="84">
        <f t="shared" si="18"/>
        <v>0</v>
      </c>
      <c r="I55" s="84">
        <f t="shared" si="18"/>
        <v>0</v>
      </c>
      <c r="J55" s="84">
        <f t="shared" si="18"/>
        <v>0</v>
      </c>
      <c r="K55" s="84">
        <f t="shared" si="18"/>
        <v>0</v>
      </c>
      <c r="L55" s="84">
        <f t="shared" si="18"/>
        <v>0</v>
      </c>
      <c r="M55" s="84">
        <f t="shared" si="18"/>
        <v>0</v>
      </c>
      <c r="N55" s="84">
        <f t="shared" si="18"/>
        <v>0</v>
      </c>
      <c r="O55" s="84">
        <f t="shared" si="18"/>
        <v>0</v>
      </c>
      <c r="P55" s="84">
        <f t="shared" si="18"/>
        <v>0</v>
      </c>
      <c r="Q55" s="84">
        <f t="shared" si="18"/>
        <v>0</v>
      </c>
      <c r="R55" s="84">
        <f t="shared" si="18"/>
        <v>0</v>
      </c>
      <c r="S55" s="84">
        <f t="shared" si="18"/>
        <v>0</v>
      </c>
      <c r="T55" s="84">
        <f t="shared" si="18"/>
        <v>0</v>
      </c>
      <c r="U55" s="593"/>
      <c r="V55" s="84">
        <f t="shared" ref="V55:AJ55" si="19">V8*V$50</f>
        <v>0</v>
      </c>
      <c r="W55" s="84">
        <f t="shared" si="19"/>
        <v>0</v>
      </c>
      <c r="X55" s="84">
        <f t="shared" si="19"/>
        <v>0</v>
      </c>
      <c r="Y55" s="84">
        <f t="shared" si="19"/>
        <v>0</v>
      </c>
      <c r="Z55" s="84">
        <f t="shared" si="19"/>
        <v>0</v>
      </c>
      <c r="AA55" s="84">
        <f t="shared" si="19"/>
        <v>0</v>
      </c>
      <c r="AB55" s="84">
        <f t="shared" si="19"/>
        <v>0</v>
      </c>
      <c r="AC55" s="84">
        <f t="shared" si="19"/>
        <v>0</v>
      </c>
      <c r="AD55" s="84">
        <f t="shared" si="19"/>
        <v>0</v>
      </c>
      <c r="AE55" s="84">
        <f t="shared" si="19"/>
        <v>0</v>
      </c>
      <c r="AF55" s="84">
        <f t="shared" si="19"/>
        <v>0</v>
      </c>
      <c r="AG55" s="84">
        <f t="shared" si="19"/>
        <v>0</v>
      </c>
      <c r="AH55" s="84">
        <f t="shared" si="19"/>
        <v>0</v>
      </c>
      <c r="AI55" s="84">
        <f t="shared" si="19"/>
        <v>0</v>
      </c>
      <c r="AJ55" s="84">
        <f t="shared" si="19"/>
        <v>0</v>
      </c>
      <c r="AK55" s="593"/>
      <c r="AL55" s="84">
        <f t="shared" ref="AL55:AO55" si="20">AL8*AL$50</f>
        <v>0</v>
      </c>
      <c r="AM55" s="84">
        <f t="shared" si="20"/>
        <v>0</v>
      </c>
      <c r="AN55" s="84">
        <f t="shared" si="20"/>
        <v>0</v>
      </c>
      <c r="AO55" s="84">
        <f t="shared" si="20"/>
        <v>0</v>
      </c>
      <c r="AP55" s="597"/>
      <c r="AQ55" s="332">
        <f t="shared" ref="AQ55:BC55" si="21">AQ8*AQ$50</f>
        <v>0</v>
      </c>
      <c r="AR55" s="332">
        <f t="shared" si="21"/>
        <v>0</v>
      </c>
      <c r="AS55" s="332">
        <f t="shared" si="21"/>
        <v>0</v>
      </c>
      <c r="AT55" s="332">
        <f t="shared" si="21"/>
        <v>0</v>
      </c>
      <c r="AU55" s="332">
        <f t="shared" si="21"/>
        <v>0</v>
      </c>
      <c r="AV55" s="332">
        <f t="shared" si="21"/>
        <v>0</v>
      </c>
      <c r="AW55" s="306">
        <f t="shared" si="21"/>
        <v>0</v>
      </c>
      <c r="AX55" s="306">
        <f t="shared" si="21"/>
        <v>0</v>
      </c>
      <c r="AY55" s="306">
        <f t="shared" si="21"/>
        <v>0</v>
      </c>
      <c r="AZ55" s="306">
        <f t="shared" si="21"/>
        <v>0</v>
      </c>
      <c r="BA55" s="306">
        <f t="shared" si="21"/>
        <v>0</v>
      </c>
      <c r="BB55" s="306">
        <f t="shared" si="21"/>
        <v>0</v>
      </c>
      <c r="BC55" s="306">
        <f t="shared" si="21"/>
        <v>0</v>
      </c>
      <c r="BD55" s="593"/>
      <c r="BE55" s="84">
        <f t="shared" ref="BE55:BH55" si="22">BE8*BE$50</f>
        <v>0</v>
      </c>
      <c r="BF55" s="84">
        <f t="shared" si="22"/>
        <v>0</v>
      </c>
      <c r="BG55" s="84">
        <f t="shared" si="22"/>
        <v>0</v>
      </c>
      <c r="BH55" s="84">
        <f t="shared" si="22"/>
        <v>0</v>
      </c>
      <c r="BI55" s="593"/>
      <c r="BJ55" s="84">
        <f t="shared" ref="BJ55:BW55" si="23">BJ8*BJ$50/60</f>
        <v>0</v>
      </c>
      <c r="BK55" s="84">
        <f t="shared" si="23"/>
        <v>0</v>
      </c>
      <c r="BL55" s="84">
        <f t="shared" si="23"/>
        <v>0</v>
      </c>
      <c r="BM55" s="84">
        <f t="shared" si="23"/>
        <v>0</v>
      </c>
      <c r="BN55" s="84">
        <f t="shared" si="23"/>
        <v>0</v>
      </c>
      <c r="BO55" s="84">
        <f t="shared" si="23"/>
        <v>0</v>
      </c>
      <c r="BP55" s="84">
        <f t="shared" si="23"/>
        <v>0</v>
      </c>
      <c r="BQ55" s="84">
        <f t="shared" si="23"/>
        <v>0</v>
      </c>
      <c r="BR55" s="84">
        <f t="shared" si="23"/>
        <v>0</v>
      </c>
      <c r="BS55" s="84">
        <f t="shared" si="23"/>
        <v>0</v>
      </c>
      <c r="BT55" s="84">
        <f t="shared" si="23"/>
        <v>0</v>
      </c>
      <c r="BU55" s="84">
        <f t="shared" si="23"/>
        <v>0</v>
      </c>
      <c r="BV55" s="84">
        <f t="shared" si="23"/>
        <v>0</v>
      </c>
      <c r="BW55" s="84">
        <f t="shared" si="23"/>
        <v>0</v>
      </c>
      <c r="BX55" s="599"/>
      <c r="BY55" s="100">
        <f t="shared" si="17"/>
        <v>0</v>
      </c>
      <c r="CB55" s="74"/>
      <c r="CC55"/>
    </row>
    <row r="56" spans="1:84" s="201" customFormat="1">
      <c r="A56" s="418">
        <f t="shared" si="4"/>
        <v>7</v>
      </c>
      <c r="B56" s="96" t="str">
        <f t="shared" si="4"/>
        <v>NV07</v>
      </c>
      <c r="C56" s="96" t="str">
        <f t="shared" si="4"/>
        <v xml:space="preserve">Triệu Bô Na </v>
      </c>
      <c r="D56" s="96" t="str">
        <f t="shared" si="4"/>
        <v xml:space="preserve">Công nhân </v>
      </c>
      <c r="E56" s="84">
        <f t="shared" ref="E56:T56" si="24">E9*E$50</f>
        <v>0</v>
      </c>
      <c r="F56" s="84">
        <f t="shared" si="24"/>
        <v>0</v>
      </c>
      <c r="G56" s="84">
        <f t="shared" si="24"/>
        <v>0</v>
      </c>
      <c r="H56" s="84">
        <f t="shared" si="24"/>
        <v>0</v>
      </c>
      <c r="I56" s="84">
        <f t="shared" si="24"/>
        <v>0</v>
      </c>
      <c r="J56" s="84">
        <f t="shared" si="24"/>
        <v>0</v>
      </c>
      <c r="K56" s="84">
        <f t="shared" si="24"/>
        <v>0</v>
      </c>
      <c r="L56" s="84">
        <f t="shared" si="24"/>
        <v>0</v>
      </c>
      <c r="M56" s="84">
        <f t="shared" si="24"/>
        <v>0</v>
      </c>
      <c r="N56" s="84">
        <f t="shared" si="24"/>
        <v>0</v>
      </c>
      <c r="O56" s="84">
        <f t="shared" si="24"/>
        <v>0</v>
      </c>
      <c r="P56" s="84">
        <f t="shared" si="24"/>
        <v>0</v>
      </c>
      <c r="Q56" s="84">
        <f t="shared" si="24"/>
        <v>0</v>
      </c>
      <c r="R56" s="84">
        <f t="shared" si="24"/>
        <v>0</v>
      </c>
      <c r="S56" s="84">
        <f t="shared" si="24"/>
        <v>0</v>
      </c>
      <c r="T56" s="84">
        <f t="shared" si="24"/>
        <v>0</v>
      </c>
      <c r="U56" s="593"/>
      <c r="V56" s="84">
        <f t="shared" ref="V56:AJ56" si="25">V9*V$50</f>
        <v>0</v>
      </c>
      <c r="W56" s="84">
        <f t="shared" si="25"/>
        <v>0</v>
      </c>
      <c r="X56" s="84">
        <f t="shared" si="25"/>
        <v>0</v>
      </c>
      <c r="Y56" s="84">
        <f t="shared" si="25"/>
        <v>0</v>
      </c>
      <c r="Z56" s="84">
        <f t="shared" si="25"/>
        <v>0</v>
      </c>
      <c r="AA56" s="84">
        <f t="shared" si="25"/>
        <v>0</v>
      </c>
      <c r="AB56" s="84">
        <f t="shared" si="25"/>
        <v>0</v>
      </c>
      <c r="AC56" s="84">
        <f t="shared" si="25"/>
        <v>0</v>
      </c>
      <c r="AD56" s="84">
        <f t="shared" si="25"/>
        <v>0</v>
      </c>
      <c r="AE56" s="84">
        <f t="shared" si="25"/>
        <v>0</v>
      </c>
      <c r="AF56" s="84">
        <f t="shared" si="25"/>
        <v>0</v>
      </c>
      <c r="AG56" s="84">
        <f t="shared" si="25"/>
        <v>0</v>
      </c>
      <c r="AH56" s="84">
        <f t="shared" si="25"/>
        <v>0</v>
      </c>
      <c r="AI56" s="84">
        <f t="shared" si="25"/>
        <v>0</v>
      </c>
      <c r="AJ56" s="84">
        <f t="shared" si="25"/>
        <v>0</v>
      </c>
      <c r="AK56" s="593"/>
      <c r="AL56" s="84">
        <f t="shared" ref="AL56:AO56" si="26">AL9*AL$50</f>
        <v>90034.61538461539</v>
      </c>
      <c r="AM56" s="84">
        <f t="shared" si="26"/>
        <v>33646.153846153844</v>
      </c>
      <c r="AN56" s="84">
        <f t="shared" si="26"/>
        <v>0</v>
      </c>
      <c r="AO56" s="84">
        <f t="shared" si="26"/>
        <v>98134.615384615376</v>
      </c>
      <c r="AP56" s="597"/>
      <c r="AQ56" s="332">
        <f t="shared" ref="AQ56:BC56" si="27">AQ9*AQ$50</f>
        <v>0</v>
      </c>
      <c r="AR56" s="332">
        <f t="shared" si="27"/>
        <v>0</v>
      </c>
      <c r="AS56" s="332">
        <f t="shared" si="27"/>
        <v>0</v>
      </c>
      <c r="AT56" s="332">
        <f t="shared" si="27"/>
        <v>0</v>
      </c>
      <c r="AU56" s="332">
        <f t="shared" si="27"/>
        <v>0</v>
      </c>
      <c r="AV56" s="332">
        <f t="shared" si="27"/>
        <v>0</v>
      </c>
      <c r="AW56" s="306">
        <f t="shared" si="27"/>
        <v>0</v>
      </c>
      <c r="AX56" s="306">
        <f t="shared" si="27"/>
        <v>0</v>
      </c>
      <c r="AY56" s="306">
        <f t="shared" si="27"/>
        <v>0</v>
      </c>
      <c r="AZ56" s="306">
        <f t="shared" si="27"/>
        <v>0</v>
      </c>
      <c r="BA56" s="306">
        <f t="shared" si="27"/>
        <v>0</v>
      </c>
      <c r="BB56" s="306">
        <f t="shared" si="27"/>
        <v>0</v>
      </c>
      <c r="BC56" s="306">
        <f t="shared" si="27"/>
        <v>0</v>
      </c>
      <c r="BD56" s="593"/>
      <c r="BE56" s="84">
        <f t="shared" ref="BE56:BH56" si="28">BE9*BE$50</f>
        <v>0</v>
      </c>
      <c r="BF56" s="84">
        <f t="shared" si="28"/>
        <v>0</v>
      </c>
      <c r="BG56" s="84">
        <f t="shared" si="28"/>
        <v>0</v>
      </c>
      <c r="BH56" s="84">
        <f t="shared" si="28"/>
        <v>0</v>
      </c>
      <c r="BI56" s="593"/>
      <c r="BJ56" s="84">
        <f t="shared" ref="BJ56:BW56" si="29">BJ9*BJ$50/60</f>
        <v>0</v>
      </c>
      <c r="BK56" s="84">
        <f t="shared" si="29"/>
        <v>0</v>
      </c>
      <c r="BL56" s="84">
        <f t="shared" si="29"/>
        <v>0</v>
      </c>
      <c r="BM56" s="84">
        <f t="shared" si="29"/>
        <v>0</v>
      </c>
      <c r="BN56" s="84">
        <f t="shared" si="29"/>
        <v>0</v>
      </c>
      <c r="BO56" s="84">
        <f t="shared" si="29"/>
        <v>0</v>
      </c>
      <c r="BP56" s="84">
        <f t="shared" si="29"/>
        <v>0</v>
      </c>
      <c r="BQ56" s="84">
        <f t="shared" si="29"/>
        <v>0</v>
      </c>
      <c r="BR56" s="84">
        <f t="shared" si="29"/>
        <v>22596.153846153848</v>
      </c>
      <c r="BS56" s="84">
        <f t="shared" si="29"/>
        <v>0</v>
      </c>
      <c r="BT56" s="84">
        <f t="shared" si="29"/>
        <v>0</v>
      </c>
      <c r="BU56" s="84">
        <f t="shared" si="29"/>
        <v>0</v>
      </c>
      <c r="BV56" s="84">
        <f t="shared" si="29"/>
        <v>0</v>
      </c>
      <c r="BW56" s="84">
        <f t="shared" si="29"/>
        <v>0</v>
      </c>
      <c r="BX56" s="599"/>
      <c r="BY56" s="100">
        <f t="shared" si="17"/>
        <v>244411.53846153847</v>
      </c>
      <c r="CB56"/>
      <c r="CC56"/>
    </row>
    <row r="57" spans="1:84" s="201" customFormat="1">
      <c r="A57" s="418">
        <f t="shared" si="4"/>
        <v>9</v>
      </c>
      <c r="B57" s="96" t="str">
        <f t="shared" si="4"/>
        <v>NV09</v>
      </c>
      <c r="C57" s="96" t="str">
        <f t="shared" si="4"/>
        <v>Phan Lâm Thương</v>
      </c>
      <c r="D57" s="96" t="str">
        <f t="shared" si="4"/>
        <v xml:space="preserve">Công nhân </v>
      </c>
      <c r="E57" s="84">
        <f t="shared" ref="E57:T57" si="30">E10*E$50</f>
        <v>0</v>
      </c>
      <c r="F57" s="84">
        <f t="shared" si="30"/>
        <v>0</v>
      </c>
      <c r="G57" s="84">
        <f t="shared" si="30"/>
        <v>0</v>
      </c>
      <c r="H57" s="84">
        <f t="shared" si="30"/>
        <v>0</v>
      </c>
      <c r="I57" s="84">
        <f t="shared" si="30"/>
        <v>0</v>
      </c>
      <c r="J57" s="84">
        <f t="shared" si="30"/>
        <v>0</v>
      </c>
      <c r="K57" s="84">
        <f t="shared" si="30"/>
        <v>0</v>
      </c>
      <c r="L57" s="84">
        <f t="shared" si="30"/>
        <v>0</v>
      </c>
      <c r="M57" s="84">
        <f t="shared" si="30"/>
        <v>0</v>
      </c>
      <c r="N57" s="84">
        <f t="shared" si="30"/>
        <v>0</v>
      </c>
      <c r="O57" s="84">
        <f t="shared" si="30"/>
        <v>0</v>
      </c>
      <c r="P57" s="84">
        <f t="shared" si="30"/>
        <v>0</v>
      </c>
      <c r="Q57" s="84">
        <f t="shared" si="30"/>
        <v>0</v>
      </c>
      <c r="R57" s="84">
        <f t="shared" si="30"/>
        <v>0</v>
      </c>
      <c r="S57" s="84">
        <f t="shared" si="30"/>
        <v>0</v>
      </c>
      <c r="T57" s="84">
        <f t="shared" si="30"/>
        <v>0</v>
      </c>
      <c r="U57" s="593"/>
      <c r="V57" s="84">
        <f t="shared" ref="V57:AJ57" si="31">V10*V$50</f>
        <v>0</v>
      </c>
      <c r="W57" s="84">
        <f t="shared" si="31"/>
        <v>0</v>
      </c>
      <c r="X57" s="84">
        <f t="shared" si="31"/>
        <v>0</v>
      </c>
      <c r="Y57" s="84">
        <f t="shared" si="31"/>
        <v>0</v>
      </c>
      <c r="Z57" s="84">
        <f t="shared" si="31"/>
        <v>0</v>
      </c>
      <c r="AA57" s="84">
        <f t="shared" si="31"/>
        <v>0</v>
      </c>
      <c r="AB57" s="84">
        <f t="shared" si="31"/>
        <v>0</v>
      </c>
      <c r="AC57" s="84">
        <f t="shared" si="31"/>
        <v>0</v>
      </c>
      <c r="AD57" s="84">
        <f t="shared" si="31"/>
        <v>0</v>
      </c>
      <c r="AE57" s="84">
        <f t="shared" si="31"/>
        <v>0</v>
      </c>
      <c r="AF57" s="84">
        <f t="shared" si="31"/>
        <v>0</v>
      </c>
      <c r="AG57" s="84">
        <f t="shared" si="31"/>
        <v>0</v>
      </c>
      <c r="AH57" s="84">
        <f t="shared" si="31"/>
        <v>0</v>
      </c>
      <c r="AI57" s="84">
        <f t="shared" si="31"/>
        <v>0</v>
      </c>
      <c r="AJ57" s="84">
        <f t="shared" si="31"/>
        <v>0</v>
      </c>
      <c r="AK57" s="593"/>
      <c r="AL57" s="84">
        <f t="shared" ref="AL57:AO57" si="32">AL10*AL$50</f>
        <v>126173.07692307692</v>
      </c>
      <c r="AM57" s="84">
        <f t="shared" si="32"/>
        <v>33646.153846153844</v>
      </c>
      <c r="AN57" s="84">
        <f t="shared" si="32"/>
        <v>0</v>
      </c>
      <c r="AO57" s="84">
        <f t="shared" si="32"/>
        <v>98134.615384615376</v>
      </c>
      <c r="AP57" s="597"/>
      <c r="AQ57" s="332">
        <f t="shared" ref="AQ57:BC57" si="33">AQ10*AQ$50</f>
        <v>0</v>
      </c>
      <c r="AR57" s="332">
        <f t="shared" si="33"/>
        <v>0</v>
      </c>
      <c r="AS57" s="332">
        <f t="shared" si="33"/>
        <v>0</v>
      </c>
      <c r="AT57" s="332">
        <f t="shared" si="33"/>
        <v>0</v>
      </c>
      <c r="AU57" s="332">
        <f t="shared" si="33"/>
        <v>0</v>
      </c>
      <c r="AV57" s="332">
        <f t="shared" si="33"/>
        <v>0</v>
      </c>
      <c r="AW57" s="306">
        <f t="shared" si="33"/>
        <v>0</v>
      </c>
      <c r="AX57" s="306">
        <f t="shared" si="33"/>
        <v>0</v>
      </c>
      <c r="AY57" s="306">
        <f t="shared" si="33"/>
        <v>0</v>
      </c>
      <c r="AZ57" s="306">
        <f t="shared" si="33"/>
        <v>0</v>
      </c>
      <c r="BA57" s="306">
        <f t="shared" si="33"/>
        <v>0</v>
      </c>
      <c r="BB57" s="306">
        <f t="shared" si="33"/>
        <v>0</v>
      </c>
      <c r="BC57" s="306">
        <f t="shared" si="33"/>
        <v>0</v>
      </c>
      <c r="BD57" s="593"/>
      <c r="BE57" s="84">
        <f t="shared" ref="BE57:BH57" si="34">BE10*BE$50</f>
        <v>0</v>
      </c>
      <c r="BF57" s="84">
        <f t="shared" si="34"/>
        <v>0</v>
      </c>
      <c r="BG57" s="84">
        <f t="shared" si="34"/>
        <v>0</v>
      </c>
      <c r="BH57" s="84">
        <f t="shared" si="34"/>
        <v>0</v>
      </c>
      <c r="BI57" s="593"/>
      <c r="BJ57" s="84">
        <f t="shared" ref="BJ57:BW57" si="35">BJ10*BJ$50/60</f>
        <v>0</v>
      </c>
      <c r="BK57" s="84">
        <f t="shared" si="35"/>
        <v>0</v>
      </c>
      <c r="BL57" s="84">
        <f t="shared" si="35"/>
        <v>0</v>
      </c>
      <c r="BM57" s="84">
        <f t="shared" si="35"/>
        <v>0</v>
      </c>
      <c r="BN57" s="84">
        <f t="shared" si="35"/>
        <v>0</v>
      </c>
      <c r="BO57" s="84">
        <f t="shared" si="35"/>
        <v>0</v>
      </c>
      <c r="BP57" s="84">
        <f t="shared" si="35"/>
        <v>0</v>
      </c>
      <c r="BQ57" s="84">
        <f t="shared" si="35"/>
        <v>0</v>
      </c>
      <c r="BR57" s="84">
        <f t="shared" si="35"/>
        <v>0</v>
      </c>
      <c r="BS57" s="84">
        <f t="shared" si="35"/>
        <v>0</v>
      </c>
      <c r="BT57" s="84">
        <f t="shared" si="35"/>
        <v>0</v>
      </c>
      <c r="BU57" s="84">
        <f t="shared" si="35"/>
        <v>0</v>
      </c>
      <c r="BV57" s="84">
        <f t="shared" si="35"/>
        <v>0</v>
      </c>
      <c r="BW57" s="84">
        <f t="shared" si="35"/>
        <v>0</v>
      </c>
      <c r="BX57" s="599"/>
      <c r="BY57" s="100">
        <f t="shared" si="17"/>
        <v>257953.84615384613</v>
      </c>
      <c r="CB57" s="54"/>
      <c r="CC57" s="54"/>
    </row>
    <row r="58" spans="1:84">
      <c r="A58" s="418">
        <f t="shared" si="4"/>
        <v>10</v>
      </c>
      <c r="B58" s="96" t="str">
        <f t="shared" si="4"/>
        <v>NV10</v>
      </c>
      <c r="C58" s="96" t="str">
        <f t="shared" si="4"/>
        <v>Nguyễn Bình Luận</v>
      </c>
      <c r="D58" s="96" t="str">
        <f t="shared" si="4"/>
        <v xml:space="preserve">Công nhân </v>
      </c>
      <c r="E58" s="84">
        <f t="shared" ref="E58:T58" si="36">E11*E$50</f>
        <v>0</v>
      </c>
      <c r="F58" s="84">
        <f t="shared" si="36"/>
        <v>0</v>
      </c>
      <c r="G58" s="84">
        <f t="shared" si="36"/>
        <v>0</v>
      </c>
      <c r="H58" s="84">
        <f t="shared" si="36"/>
        <v>0</v>
      </c>
      <c r="I58" s="84">
        <f t="shared" si="36"/>
        <v>0</v>
      </c>
      <c r="J58" s="84">
        <f t="shared" si="36"/>
        <v>0</v>
      </c>
      <c r="K58" s="84">
        <f t="shared" si="36"/>
        <v>0</v>
      </c>
      <c r="L58" s="84">
        <f t="shared" si="36"/>
        <v>0</v>
      </c>
      <c r="M58" s="84">
        <f t="shared" si="36"/>
        <v>0</v>
      </c>
      <c r="N58" s="84">
        <f t="shared" si="36"/>
        <v>0</v>
      </c>
      <c r="O58" s="84">
        <f t="shared" si="36"/>
        <v>0</v>
      </c>
      <c r="P58" s="84">
        <f t="shared" si="36"/>
        <v>0</v>
      </c>
      <c r="Q58" s="84">
        <f t="shared" si="36"/>
        <v>0</v>
      </c>
      <c r="R58" s="84">
        <f t="shared" si="36"/>
        <v>0</v>
      </c>
      <c r="S58" s="84">
        <f t="shared" si="36"/>
        <v>0</v>
      </c>
      <c r="T58" s="84">
        <f t="shared" si="36"/>
        <v>0</v>
      </c>
      <c r="U58" s="593"/>
      <c r="V58" s="84">
        <f t="shared" ref="V58:AJ58" si="37">V11*V$50</f>
        <v>0</v>
      </c>
      <c r="W58" s="84">
        <f t="shared" si="37"/>
        <v>0</v>
      </c>
      <c r="X58" s="84">
        <f t="shared" si="37"/>
        <v>0</v>
      </c>
      <c r="Y58" s="84">
        <f t="shared" si="37"/>
        <v>0</v>
      </c>
      <c r="Z58" s="84">
        <f t="shared" si="37"/>
        <v>0</v>
      </c>
      <c r="AA58" s="84">
        <f t="shared" si="37"/>
        <v>0</v>
      </c>
      <c r="AB58" s="84">
        <f t="shared" si="37"/>
        <v>0</v>
      </c>
      <c r="AC58" s="84">
        <f t="shared" si="37"/>
        <v>0</v>
      </c>
      <c r="AD58" s="84">
        <f t="shared" si="37"/>
        <v>0</v>
      </c>
      <c r="AE58" s="84">
        <f t="shared" si="37"/>
        <v>0</v>
      </c>
      <c r="AF58" s="84">
        <f t="shared" si="37"/>
        <v>0</v>
      </c>
      <c r="AG58" s="84">
        <f t="shared" si="37"/>
        <v>0</v>
      </c>
      <c r="AH58" s="84">
        <f t="shared" si="37"/>
        <v>0</v>
      </c>
      <c r="AI58" s="84">
        <f t="shared" si="37"/>
        <v>0</v>
      </c>
      <c r="AJ58" s="84">
        <f t="shared" si="37"/>
        <v>0</v>
      </c>
      <c r="AK58" s="593"/>
      <c r="AL58" s="84">
        <f t="shared" ref="AL58:AO58" si="38">AL11*AL$50</f>
        <v>90034.61538461539</v>
      </c>
      <c r="AM58" s="84">
        <f t="shared" si="38"/>
        <v>33646.153846153844</v>
      </c>
      <c r="AN58" s="84">
        <f t="shared" si="38"/>
        <v>0</v>
      </c>
      <c r="AO58" s="84">
        <f t="shared" si="38"/>
        <v>98134.615384615376</v>
      </c>
      <c r="AP58" s="597"/>
      <c r="AQ58" s="332">
        <f t="shared" ref="AQ58:BC58" si="39">AQ11*AQ$50</f>
        <v>0</v>
      </c>
      <c r="AR58" s="332">
        <f t="shared" si="39"/>
        <v>0</v>
      </c>
      <c r="AS58" s="332">
        <f t="shared" si="39"/>
        <v>0</v>
      </c>
      <c r="AT58" s="332">
        <f t="shared" si="39"/>
        <v>0</v>
      </c>
      <c r="AU58" s="332">
        <f t="shared" si="39"/>
        <v>0</v>
      </c>
      <c r="AV58" s="332">
        <f t="shared" si="39"/>
        <v>0</v>
      </c>
      <c r="AW58" s="306">
        <f t="shared" si="39"/>
        <v>0</v>
      </c>
      <c r="AX58" s="306">
        <f t="shared" si="39"/>
        <v>0</v>
      </c>
      <c r="AY58" s="306">
        <f t="shared" si="39"/>
        <v>0</v>
      </c>
      <c r="AZ58" s="306">
        <f t="shared" si="39"/>
        <v>0</v>
      </c>
      <c r="BA58" s="306">
        <f t="shared" si="39"/>
        <v>0</v>
      </c>
      <c r="BB58" s="306">
        <f t="shared" si="39"/>
        <v>0</v>
      </c>
      <c r="BC58" s="306">
        <f t="shared" si="39"/>
        <v>0</v>
      </c>
      <c r="BD58" s="593"/>
      <c r="BE58" s="84">
        <f t="shared" ref="BE58:BH58" si="40">BE11*BE$50</f>
        <v>0</v>
      </c>
      <c r="BF58" s="84">
        <f t="shared" si="40"/>
        <v>0</v>
      </c>
      <c r="BG58" s="84">
        <f t="shared" si="40"/>
        <v>0</v>
      </c>
      <c r="BH58" s="84">
        <f t="shared" si="40"/>
        <v>0</v>
      </c>
      <c r="BI58" s="593"/>
      <c r="BJ58" s="84">
        <f t="shared" ref="BJ58:BW58" si="41">BJ11*BJ$50/60</f>
        <v>0</v>
      </c>
      <c r="BK58" s="84">
        <f t="shared" si="41"/>
        <v>0</v>
      </c>
      <c r="BL58" s="84">
        <f t="shared" si="41"/>
        <v>0</v>
      </c>
      <c r="BM58" s="84">
        <f t="shared" si="41"/>
        <v>0</v>
      </c>
      <c r="BN58" s="84">
        <f t="shared" si="41"/>
        <v>0</v>
      </c>
      <c r="BO58" s="84">
        <f t="shared" si="41"/>
        <v>0</v>
      </c>
      <c r="BP58" s="84">
        <f t="shared" si="41"/>
        <v>0</v>
      </c>
      <c r="BQ58" s="84">
        <f t="shared" si="41"/>
        <v>0</v>
      </c>
      <c r="BR58" s="84">
        <f t="shared" si="41"/>
        <v>22596.153846153848</v>
      </c>
      <c r="BS58" s="84">
        <f t="shared" si="41"/>
        <v>0</v>
      </c>
      <c r="BT58" s="84">
        <f t="shared" si="41"/>
        <v>0</v>
      </c>
      <c r="BU58" s="84">
        <f t="shared" si="41"/>
        <v>0</v>
      </c>
      <c r="BV58" s="84">
        <f t="shared" si="41"/>
        <v>0</v>
      </c>
      <c r="BW58" s="84">
        <f t="shared" si="41"/>
        <v>0</v>
      </c>
      <c r="BX58" s="599"/>
      <c r="BY58" s="100">
        <f t="shared" si="17"/>
        <v>244411.53846153847</v>
      </c>
      <c r="CC58" s="108"/>
    </row>
    <row r="59" spans="1:84">
      <c r="A59" s="418">
        <f t="shared" si="4"/>
        <v>11</v>
      </c>
      <c r="B59" s="96" t="str">
        <f t="shared" si="4"/>
        <v>NV11</v>
      </c>
      <c r="C59" s="96" t="str">
        <f t="shared" si="4"/>
        <v>Nguyễn Thế Lực</v>
      </c>
      <c r="D59" s="96" t="str">
        <f t="shared" si="4"/>
        <v xml:space="preserve">Công nhân </v>
      </c>
      <c r="E59" s="84">
        <f t="shared" ref="E59:T59" si="42">E12*E$50</f>
        <v>0</v>
      </c>
      <c r="F59" s="84">
        <f t="shared" si="42"/>
        <v>0</v>
      </c>
      <c r="G59" s="84">
        <f t="shared" si="42"/>
        <v>0</v>
      </c>
      <c r="H59" s="84">
        <f t="shared" si="42"/>
        <v>0</v>
      </c>
      <c r="I59" s="84">
        <f t="shared" si="42"/>
        <v>0</v>
      </c>
      <c r="J59" s="84">
        <f t="shared" si="42"/>
        <v>0</v>
      </c>
      <c r="K59" s="84">
        <f t="shared" si="42"/>
        <v>0</v>
      </c>
      <c r="L59" s="84">
        <f t="shared" si="42"/>
        <v>0</v>
      </c>
      <c r="M59" s="84">
        <f t="shared" si="42"/>
        <v>0</v>
      </c>
      <c r="N59" s="84">
        <f t="shared" si="42"/>
        <v>0</v>
      </c>
      <c r="O59" s="84">
        <f t="shared" si="42"/>
        <v>0</v>
      </c>
      <c r="P59" s="84">
        <f t="shared" si="42"/>
        <v>0</v>
      </c>
      <c r="Q59" s="84">
        <f t="shared" si="42"/>
        <v>0</v>
      </c>
      <c r="R59" s="84">
        <f t="shared" si="42"/>
        <v>0</v>
      </c>
      <c r="S59" s="84">
        <f t="shared" si="42"/>
        <v>0</v>
      </c>
      <c r="T59" s="84">
        <f t="shared" si="42"/>
        <v>0</v>
      </c>
      <c r="U59" s="593"/>
      <c r="V59" s="84">
        <f t="shared" ref="V59:AJ59" si="43">V12*V$50</f>
        <v>0</v>
      </c>
      <c r="W59" s="84">
        <f t="shared" si="43"/>
        <v>0</v>
      </c>
      <c r="X59" s="84">
        <f t="shared" si="43"/>
        <v>0</v>
      </c>
      <c r="Y59" s="84">
        <f t="shared" si="43"/>
        <v>0</v>
      </c>
      <c r="Z59" s="84">
        <f t="shared" si="43"/>
        <v>0</v>
      </c>
      <c r="AA59" s="84">
        <f t="shared" si="43"/>
        <v>0</v>
      </c>
      <c r="AB59" s="84">
        <f t="shared" si="43"/>
        <v>0</v>
      </c>
      <c r="AC59" s="84">
        <f t="shared" si="43"/>
        <v>0</v>
      </c>
      <c r="AD59" s="84">
        <f t="shared" si="43"/>
        <v>0</v>
      </c>
      <c r="AE59" s="84">
        <f t="shared" si="43"/>
        <v>0</v>
      </c>
      <c r="AF59" s="84">
        <f t="shared" si="43"/>
        <v>0</v>
      </c>
      <c r="AG59" s="84">
        <f t="shared" si="43"/>
        <v>0</v>
      </c>
      <c r="AH59" s="84">
        <f t="shared" si="43"/>
        <v>0</v>
      </c>
      <c r="AI59" s="84">
        <f t="shared" si="43"/>
        <v>0</v>
      </c>
      <c r="AJ59" s="84">
        <f t="shared" si="43"/>
        <v>0</v>
      </c>
      <c r="AK59" s="593"/>
      <c r="AL59" s="84">
        <f t="shared" ref="AL59:AO59" si="44">AL12*AL$50</f>
        <v>126173.07692307692</v>
      </c>
      <c r="AM59" s="84">
        <f t="shared" si="44"/>
        <v>33646.153846153844</v>
      </c>
      <c r="AN59" s="84">
        <f t="shared" si="44"/>
        <v>0</v>
      </c>
      <c r="AO59" s="84">
        <f t="shared" si="44"/>
        <v>98134.615384615376</v>
      </c>
      <c r="AP59" s="597"/>
      <c r="AQ59" s="332">
        <f t="shared" ref="AQ59:BC59" si="45">AQ12*AQ$50</f>
        <v>0</v>
      </c>
      <c r="AR59" s="332">
        <f t="shared" si="45"/>
        <v>0</v>
      </c>
      <c r="AS59" s="332">
        <f t="shared" si="45"/>
        <v>0</v>
      </c>
      <c r="AT59" s="332">
        <f t="shared" si="45"/>
        <v>0</v>
      </c>
      <c r="AU59" s="332">
        <f t="shared" si="45"/>
        <v>0</v>
      </c>
      <c r="AV59" s="332">
        <f t="shared" si="45"/>
        <v>0</v>
      </c>
      <c r="AW59" s="306">
        <f t="shared" si="45"/>
        <v>0</v>
      </c>
      <c r="AX59" s="306">
        <f t="shared" si="45"/>
        <v>0</v>
      </c>
      <c r="AY59" s="306">
        <f t="shared" si="45"/>
        <v>0</v>
      </c>
      <c r="AZ59" s="306">
        <f t="shared" si="45"/>
        <v>0</v>
      </c>
      <c r="BA59" s="306">
        <f t="shared" si="45"/>
        <v>0</v>
      </c>
      <c r="BB59" s="306">
        <f t="shared" si="45"/>
        <v>0</v>
      </c>
      <c r="BC59" s="306">
        <f t="shared" si="45"/>
        <v>0</v>
      </c>
      <c r="BD59" s="593"/>
      <c r="BE59" s="84">
        <f t="shared" ref="BE59:BH59" si="46">BE12*BE$50</f>
        <v>0</v>
      </c>
      <c r="BF59" s="84">
        <f t="shared" si="46"/>
        <v>0</v>
      </c>
      <c r="BG59" s="84">
        <f t="shared" si="46"/>
        <v>0</v>
      </c>
      <c r="BH59" s="84">
        <f t="shared" si="46"/>
        <v>0</v>
      </c>
      <c r="BI59" s="593"/>
      <c r="BJ59" s="84">
        <f t="shared" ref="BJ59:BW59" si="47">BJ12*BJ$50/60</f>
        <v>0</v>
      </c>
      <c r="BK59" s="84">
        <f t="shared" si="47"/>
        <v>0</v>
      </c>
      <c r="BL59" s="84">
        <f t="shared" si="47"/>
        <v>0</v>
      </c>
      <c r="BM59" s="84">
        <f t="shared" si="47"/>
        <v>0</v>
      </c>
      <c r="BN59" s="84">
        <f t="shared" si="47"/>
        <v>0</v>
      </c>
      <c r="BO59" s="84">
        <f t="shared" si="47"/>
        <v>0</v>
      </c>
      <c r="BP59" s="84">
        <f t="shared" si="47"/>
        <v>0</v>
      </c>
      <c r="BQ59" s="84">
        <f t="shared" si="47"/>
        <v>0</v>
      </c>
      <c r="BR59" s="84">
        <f t="shared" si="47"/>
        <v>0</v>
      </c>
      <c r="BS59" s="84">
        <f t="shared" si="47"/>
        <v>0</v>
      </c>
      <c r="BT59" s="84">
        <f t="shared" si="47"/>
        <v>0</v>
      </c>
      <c r="BU59" s="84">
        <f t="shared" si="47"/>
        <v>0</v>
      </c>
      <c r="BV59" s="84">
        <f t="shared" si="47"/>
        <v>0</v>
      </c>
      <c r="BW59" s="84">
        <f t="shared" si="47"/>
        <v>0</v>
      </c>
      <c r="BX59" s="599"/>
      <c r="BY59" s="100">
        <f t="shared" si="17"/>
        <v>257953.84615384613</v>
      </c>
      <c r="CC59" s="108"/>
    </row>
    <row r="60" spans="1:84" s="581" customFormat="1" ht="17.25" customHeight="1">
      <c r="A60" s="418">
        <f t="shared" si="4"/>
        <v>12</v>
      </c>
      <c r="B60" s="96" t="str">
        <f t="shared" si="4"/>
        <v>NV12</v>
      </c>
      <c r="C60" s="96" t="str">
        <f t="shared" si="4"/>
        <v>Nguyễn Thành Vân</v>
      </c>
      <c r="D60" s="96" t="str">
        <f t="shared" si="4"/>
        <v xml:space="preserve">Công nhân </v>
      </c>
      <c r="E60" s="84">
        <f t="shared" ref="E60:T60" si="48">E13*E$50</f>
        <v>0</v>
      </c>
      <c r="F60" s="84">
        <f t="shared" si="48"/>
        <v>0</v>
      </c>
      <c r="G60" s="84">
        <f t="shared" si="48"/>
        <v>0</v>
      </c>
      <c r="H60" s="84">
        <f t="shared" si="48"/>
        <v>0</v>
      </c>
      <c r="I60" s="84">
        <f t="shared" si="48"/>
        <v>0</v>
      </c>
      <c r="J60" s="84">
        <f t="shared" si="48"/>
        <v>0</v>
      </c>
      <c r="K60" s="84">
        <f t="shared" si="48"/>
        <v>0</v>
      </c>
      <c r="L60" s="84">
        <f t="shared" si="48"/>
        <v>0</v>
      </c>
      <c r="M60" s="84">
        <f t="shared" si="48"/>
        <v>0</v>
      </c>
      <c r="N60" s="84">
        <f t="shared" si="48"/>
        <v>0</v>
      </c>
      <c r="O60" s="84">
        <f t="shared" si="48"/>
        <v>0</v>
      </c>
      <c r="P60" s="84">
        <f t="shared" si="48"/>
        <v>0</v>
      </c>
      <c r="Q60" s="84">
        <f t="shared" si="48"/>
        <v>0</v>
      </c>
      <c r="R60" s="84">
        <f t="shared" si="48"/>
        <v>0</v>
      </c>
      <c r="S60" s="84">
        <f t="shared" si="48"/>
        <v>0</v>
      </c>
      <c r="T60" s="84">
        <f t="shared" si="48"/>
        <v>0</v>
      </c>
      <c r="U60" s="593"/>
      <c r="V60" s="84">
        <f t="shared" ref="V60:AJ60" si="49">V13*V$50</f>
        <v>0</v>
      </c>
      <c r="W60" s="84">
        <f t="shared" si="49"/>
        <v>0</v>
      </c>
      <c r="X60" s="84">
        <f t="shared" si="49"/>
        <v>0</v>
      </c>
      <c r="Y60" s="84">
        <f t="shared" si="49"/>
        <v>0</v>
      </c>
      <c r="Z60" s="84">
        <f t="shared" si="49"/>
        <v>0</v>
      </c>
      <c r="AA60" s="84">
        <f t="shared" si="49"/>
        <v>0</v>
      </c>
      <c r="AB60" s="84">
        <f t="shared" si="49"/>
        <v>0</v>
      </c>
      <c r="AC60" s="84">
        <f t="shared" si="49"/>
        <v>0</v>
      </c>
      <c r="AD60" s="84">
        <f t="shared" si="49"/>
        <v>0</v>
      </c>
      <c r="AE60" s="84">
        <f t="shared" si="49"/>
        <v>0</v>
      </c>
      <c r="AF60" s="84">
        <f t="shared" si="49"/>
        <v>0</v>
      </c>
      <c r="AG60" s="84">
        <f t="shared" si="49"/>
        <v>0</v>
      </c>
      <c r="AH60" s="84">
        <f t="shared" si="49"/>
        <v>0</v>
      </c>
      <c r="AI60" s="84">
        <f t="shared" si="49"/>
        <v>0</v>
      </c>
      <c r="AJ60" s="84">
        <f t="shared" si="49"/>
        <v>0</v>
      </c>
      <c r="AK60" s="593"/>
      <c r="AL60" s="84">
        <f t="shared" ref="AL60:AO60" si="50">AL13*AL$50</f>
        <v>90034.61538461539</v>
      </c>
      <c r="AM60" s="84">
        <f t="shared" si="50"/>
        <v>33646.153846153844</v>
      </c>
      <c r="AN60" s="84">
        <f t="shared" si="50"/>
        <v>0</v>
      </c>
      <c r="AO60" s="84">
        <f t="shared" si="50"/>
        <v>98134.615384615376</v>
      </c>
      <c r="AP60" s="597"/>
      <c r="AQ60" s="332">
        <f t="shared" ref="AQ60:BC60" si="51">AQ13*AQ$50</f>
        <v>0</v>
      </c>
      <c r="AR60" s="332">
        <f t="shared" si="51"/>
        <v>0</v>
      </c>
      <c r="AS60" s="332">
        <f t="shared" si="51"/>
        <v>0</v>
      </c>
      <c r="AT60" s="332">
        <f t="shared" si="51"/>
        <v>0</v>
      </c>
      <c r="AU60" s="332">
        <f t="shared" si="51"/>
        <v>0</v>
      </c>
      <c r="AV60" s="332">
        <f t="shared" si="51"/>
        <v>0</v>
      </c>
      <c r="AW60" s="306">
        <f t="shared" si="51"/>
        <v>0</v>
      </c>
      <c r="AX60" s="306">
        <f t="shared" si="51"/>
        <v>0</v>
      </c>
      <c r="AY60" s="306">
        <f t="shared" si="51"/>
        <v>0</v>
      </c>
      <c r="AZ60" s="306">
        <f t="shared" si="51"/>
        <v>0</v>
      </c>
      <c r="BA60" s="306">
        <f t="shared" si="51"/>
        <v>0</v>
      </c>
      <c r="BB60" s="306">
        <f t="shared" si="51"/>
        <v>0</v>
      </c>
      <c r="BC60" s="306">
        <f t="shared" si="51"/>
        <v>0</v>
      </c>
      <c r="BD60" s="593"/>
      <c r="BE60" s="84">
        <f t="shared" ref="BE60:BH60" si="52">BE13*BE$50</f>
        <v>0</v>
      </c>
      <c r="BF60" s="84">
        <f t="shared" si="52"/>
        <v>0</v>
      </c>
      <c r="BG60" s="84">
        <f t="shared" si="52"/>
        <v>0</v>
      </c>
      <c r="BH60" s="84">
        <f t="shared" si="52"/>
        <v>0</v>
      </c>
      <c r="BI60" s="593"/>
      <c r="BJ60" s="84">
        <f t="shared" ref="BJ60:BW60" si="53">BJ13*BJ$50/60</f>
        <v>0</v>
      </c>
      <c r="BK60" s="84">
        <f t="shared" si="53"/>
        <v>0</v>
      </c>
      <c r="BL60" s="84">
        <f t="shared" si="53"/>
        <v>0</v>
      </c>
      <c r="BM60" s="84">
        <f t="shared" si="53"/>
        <v>0</v>
      </c>
      <c r="BN60" s="84">
        <f t="shared" si="53"/>
        <v>0</v>
      </c>
      <c r="BO60" s="84">
        <f t="shared" si="53"/>
        <v>0</v>
      </c>
      <c r="BP60" s="84">
        <f t="shared" si="53"/>
        <v>0</v>
      </c>
      <c r="BQ60" s="84">
        <f t="shared" si="53"/>
        <v>0</v>
      </c>
      <c r="BR60" s="84">
        <f t="shared" si="53"/>
        <v>22596.153846153848</v>
      </c>
      <c r="BS60" s="84">
        <f t="shared" si="53"/>
        <v>0</v>
      </c>
      <c r="BT60" s="84">
        <f t="shared" si="53"/>
        <v>0</v>
      </c>
      <c r="BU60" s="84">
        <f t="shared" si="53"/>
        <v>0</v>
      </c>
      <c r="BV60" s="84">
        <f t="shared" si="53"/>
        <v>0</v>
      </c>
      <c r="BW60" s="84">
        <f t="shared" si="53"/>
        <v>0</v>
      </c>
      <c r="BX60" s="599"/>
      <c r="BY60" s="100">
        <f t="shared" si="17"/>
        <v>244411.53846153847</v>
      </c>
      <c r="CC60" s="582"/>
      <c r="CD60" s="201"/>
      <c r="CE60" s="201"/>
      <c r="CF60" s="201"/>
    </row>
    <row r="61" spans="1:84" s="581" customFormat="1" ht="17.25" customHeight="1">
      <c r="A61" s="418"/>
      <c r="B61" s="96" t="str">
        <f t="shared" ref="B61:D89" si="54">B14</f>
        <v>NV46</v>
      </c>
      <c r="C61" s="96" t="str">
        <f t="shared" si="54"/>
        <v>Lương Trường Giang</v>
      </c>
      <c r="D61" s="96" t="str">
        <f t="shared" si="54"/>
        <v xml:space="preserve">Công nhân </v>
      </c>
      <c r="E61" s="84">
        <f t="shared" ref="E61:T61" si="55">E14*E$50</f>
        <v>0</v>
      </c>
      <c r="F61" s="84">
        <f t="shared" si="55"/>
        <v>0</v>
      </c>
      <c r="G61" s="84">
        <f t="shared" si="55"/>
        <v>0</v>
      </c>
      <c r="H61" s="84">
        <f t="shared" si="55"/>
        <v>0</v>
      </c>
      <c r="I61" s="84">
        <f t="shared" si="55"/>
        <v>0</v>
      </c>
      <c r="J61" s="84">
        <f t="shared" si="55"/>
        <v>0</v>
      </c>
      <c r="K61" s="84">
        <f t="shared" si="55"/>
        <v>0</v>
      </c>
      <c r="L61" s="84">
        <f t="shared" si="55"/>
        <v>0</v>
      </c>
      <c r="M61" s="84">
        <f t="shared" si="55"/>
        <v>0</v>
      </c>
      <c r="N61" s="84">
        <f t="shared" si="55"/>
        <v>0</v>
      </c>
      <c r="O61" s="84">
        <f t="shared" si="55"/>
        <v>0</v>
      </c>
      <c r="P61" s="84">
        <f t="shared" si="55"/>
        <v>0</v>
      </c>
      <c r="Q61" s="84">
        <f t="shared" si="55"/>
        <v>0</v>
      </c>
      <c r="R61" s="84">
        <f t="shared" si="55"/>
        <v>0</v>
      </c>
      <c r="S61" s="84">
        <f t="shared" si="55"/>
        <v>0</v>
      </c>
      <c r="T61" s="84">
        <f t="shared" si="55"/>
        <v>0</v>
      </c>
      <c r="U61" s="593"/>
      <c r="V61" s="84">
        <f t="shared" ref="V61:AJ61" si="56">V14*V$50</f>
        <v>0</v>
      </c>
      <c r="W61" s="84">
        <f t="shared" si="56"/>
        <v>0</v>
      </c>
      <c r="X61" s="84">
        <f t="shared" si="56"/>
        <v>0</v>
      </c>
      <c r="Y61" s="84">
        <f t="shared" si="56"/>
        <v>0</v>
      </c>
      <c r="Z61" s="84">
        <f t="shared" si="56"/>
        <v>0</v>
      </c>
      <c r="AA61" s="84">
        <f t="shared" si="56"/>
        <v>0</v>
      </c>
      <c r="AB61" s="84">
        <f t="shared" si="56"/>
        <v>0</v>
      </c>
      <c r="AC61" s="84">
        <f t="shared" si="56"/>
        <v>0</v>
      </c>
      <c r="AD61" s="84">
        <f t="shared" si="56"/>
        <v>0</v>
      </c>
      <c r="AE61" s="84">
        <f t="shared" si="56"/>
        <v>0</v>
      </c>
      <c r="AF61" s="84">
        <f t="shared" si="56"/>
        <v>0</v>
      </c>
      <c r="AG61" s="84">
        <f t="shared" si="56"/>
        <v>0</v>
      </c>
      <c r="AH61" s="84">
        <f t="shared" si="56"/>
        <v>0</v>
      </c>
      <c r="AI61" s="84">
        <f t="shared" si="56"/>
        <v>0</v>
      </c>
      <c r="AJ61" s="84">
        <f t="shared" si="56"/>
        <v>0</v>
      </c>
      <c r="AK61" s="593"/>
      <c r="AL61" s="84">
        <f t="shared" ref="AL61:AO61" si="57">AL14*AL$50</f>
        <v>90034.61538461539</v>
      </c>
      <c r="AM61" s="84">
        <f t="shared" si="57"/>
        <v>33646.153846153844</v>
      </c>
      <c r="AN61" s="84">
        <f t="shared" si="57"/>
        <v>0</v>
      </c>
      <c r="AO61" s="84">
        <f t="shared" si="57"/>
        <v>98134.615384615376</v>
      </c>
      <c r="AP61" s="597"/>
      <c r="AQ61" s="332">
        <f t="shared" ref="AQ61:BC61" si="58">AQ14*AQ$50</f>
        <v>0</v>
      </c>
      <c r="AR61" s="332">
        <f t="shared" si="58"/>
        <v>0</v>
      </c>
      <c r="AS61" s="332">
        <f t="shared" si="58"/>
        <v>0</v>
      </c>
      <c r="AT61" s="332">
        <f t="shared" si="58"/>
        <v>0</v>
      </c>
      <c r="AU61" s="332">
        <f t="shared" si="58"/>
        <v>0</v>
      </c>
      <c r="AV61" s="332">
        <f t="shared" si="58"/>
        <v>0</v>
      </c>
      <c r="AW61" s="306">
        <f t="shared" si="58"/>
        <v>0</v>
      </c>
      <c r="AX61" s="306">
        <f t="shared" si="58"/>
        <v>0</v>
      </c>
      <c r="AY61" s="306">
        <f t="shared" si="58"/>
        <v>0</v>
      </c>
      <c r="AZ61" s="306">
        <f t="shared" si="58"/>
        <v>0</v>
      </c>
      <c r="BA61" s="306">
        <f t="shared" si="58"/>
        <v>0</v>
      </c>
      <c r="BB61" s="306">
        <f t="shared" si="58"/>
        <v>0</v>
      </c>
      <c r="BC61" s="306">
        <f t="shared" si="58"/>
        <v>0</v>
      </c>
      <c r="BD61" s="593"/>
      <c r="BE61" s="84">
        <f t="shared" ref="BE61:BH61" si="59">BE14*BE$50</f>
        <v>0</v>
      </c>
      <c r="BF61" s="84">
        <f t="shared" si="59"/>
        <v>0</v>
      </c>
      <c r="BG61" s="84">
        <f t="shared" si="59"/>
        <v>0</v>
      </c>
      <c r="BH61" s="84">
        <f t="shared" si="59"/>
        <v>0</v>
      </c>
      <c r="BI61" s="593"/>
      <c r="BJ61" s="84">
        <f t="shared" ref="BJ61:BW61" si="60">BJ14*BJ$50/60</f>
        <v>0</v>
      </c>
      <c r="BK61" s="84">
        <f t="shared" si="60"/>
        <v>0</v>
      </c>
      <c r="BL61" s="84">
        <f t="shared" si="60"/>
        <v>0</v>
      </c>
      <c r="BM61" s="84">
        <f t="shared" si="60"/>
        <v>0</v>
      </c>
      <c r="BN61" s="84">
        <f t="shared" si="60"/>
        <v>0</v>
      </c>
      <c r="BO61" s="84">
        <f t="shared" si="60"/>
        <v>0</v>
      </c>
      <c r="BP61" s="84">
        <f t="shared" si="60"/>
        <v>0</v>
      </c>
      <c r="BQ61" s="84">
        <f t="shared" si="60"/>
        <v>0</v>
      </c>
      <c r="BR61" s="84">
        <f t="shared" si="60"/>
        <v>22596.153846153848</v>
      </c>
      <c r="BS61" s="84">
        <f t="shared" si="60"/>
        <v>0</v>
      </c>
      <c r="BT61" s="84">
        <f t="shared" si="60"/>
        <v>0</v>
      </c>
      <c r="BU61" s="84">
        <f t="shared" si="60"/>
        <v>0</v>
      </c>
      <c r="BV61" s="84">
        <f t="shared" si="60"/>
        <v>0</v>
      </c>
      <c r="BW61" s="84">
        <f t="shared" si="60"/>
        <v>0</v>
      </c>
      <c r="BX61" s="599"/>
      <c r="BY61" s="100">
        <f t="shared" si="17"/>
        <v>244411.53846153847</v>
      </c>
      <c r="CC61" s="582"/>
      <c r="CD61" s="201"/>
      <c r="CE61" s="201"/>
      <c r="CF61" s="201"/>
    </row>
    <row r="62" spans="1:84" s="581" customFormat="1" ht="17.25" customHeight="1">
      <c r="A62" s="418"/>
      <c r="B62" s="96" t="str">
        <f t="shared" si="54"/>
        <v>NV47</v>
      </c>
      <c r="C62" s="96" t="str">
        <f t="shared" si="54"/>
        <v>Bùi Trọng Nghĩa</v>
      </c>
      <c r="D62" s="96" t="str">
        <f t="shared" si="54"/>
        <v xml:space="preserve">Công nhân </v>
      </c>
      <c r="E62" s="84">
        <f t="shared" ref="E62:T62" si="61">E15*E$50</f>
        <v>0</v>
      </c>
      <c r="F62" s="84">
        <f t="shared" si="61"/>
        <v>0</v>
      </c>
      <c r="G62" s="84">
        <f t="shared" si="61"/>
        <v>0</v>
      </c>
      <c r="H62" s="84">
        <f t="shared" si="61"/>
        <v>0</v>
      </c>
      <c r="I62" s="84">
        <f t="shared" si="61"/>
        <v>0</v>
      </c>
      <c r="J62" s="84">
        <f t="shared" si="61"/>
        <v>0</v>
      </c>
      <c r="K62" s="84">
        <f t="shared" si="61"/>
        <v>0</v>
      </c>
      <c r="L62" s="84">
        <f t="shared" si="61"/>
        <v>0</v>
      </c>
      <c r="M62" s="84">
        <f t="shared" si="61"/>
        <v>0</v>
      </c>
      <c r="N62" s="84">
        <f t="shared" si="61"/>
        <v>0</v>
      </c>
      <c r="O62" s="84">
        <f t="shared" si="61"/>
        <v>0</v>
      </c>
      <c r="P62" s="84">
        <f t="shared" si="61"/>
        <v>0</v>
      </c>
      <c r="Q62" s="84">
        <f t="shared" si="61"/>
        <v>0</v>
      </c>
      <c r="R62" s="84">
        <f t="shared" si="61"/>
        <v>0</v>
      </c>
      <c r="S62" s="84">
        <f t="shared" si="61"/>
        <v>0</v>
      </c>
      <c r="T62" s="84">
        <f t="shared" si="61"/>
        <v>0</v>
      </c>
      <c r="U62" s="593"/>
      <c r="V62" s="84">
        <f t="shared" ref="V62:AJ62" si="62">V15*V$50</f>
        <v>0</v>
      </c>
      <c r="W62" s="84">
        <f t="shared" si="62"/>
        <v>0</v>
      </c>
      <c r="X62" s="84">
        <f t="shared" si="62"/>
        <v>0</v>
      </c>
      <c r="Y62" s="84">
        <f t="shared" si="62"/>
        <v>0</v>
      </c>
      <c r="Z62" s="84">
        <f t="shared" si="62"/>
        <v>0</v>
      </c>
      <c r="AA62" s="84">
        <f t="shared" si="62"/>
        <v>0</v>
      </c>
      <c r="AB62" s="84">
        <f t="shared" si="62"/>
        <v>0</v>
      </c>
      <c r="AC62" s="84">
        <f t="shared" si="62"/>
        <v>0</v>
      </c>
      <c r="AD62" s="84">
        <f t="shared" si="62"/>
        <v>0</v>
      </c>
      <c r="AE62" s="84">
        <f t="shared" si="62"/>
        <v>0</v>
      </c>
      <c r="AF62" s="84">
        <f t="shared" si="62"/>
        <v>0</v>
      </c>
      <c r="AG62" s="84">
        <f t="shared" si="62"/>
        <v>0</v>
      </c>
      <c r="AH62" s="84">
        <f t="shared" si="62"/>
        <v>0</v>
      </c>
      <c r="AI62" s="84">
        <f t="shared" si="62"/>
        <v>0</v>
      </c>
      <c r="AJ62" s="84">
        <f t="shared" si="62"/>
        <v>0</v>
      </c>
      <c r="AK62" s="593"/>
      <c r="AL62" s="84">
        <f t="shared" ref="AL62:AO62" si="63">AL15*AL$50</f>
        <v>126173.07692307692</v>
      </c>
      <c r="AM62" s="84">
        <f t="shared" si="63"/>
        <v>33646.153846153844</v>
      </c>
      <c r="AN62" s="84">
        <f t="shared" si="63"/>
        <v>0</v>
      </c>
      <c r="AO62" s="84">
        <f t="shared" si="63"/>
        <v>98134.615384615376</v>
      </c>
      <c r="AP62" s="597"/>
      <c r="AQ62" s="332">
        <f t="shared" ref="AQ62:BC62" si="64">AQ15*AQ$50</f>
        <v>0</v>
      </c>
      <c r="AR62" s="332">
        <f t="shared" si="64"/>
        <v>0</v>
      </c>
      <c r="AS62" s="332">
        <f t="shared" si="64"/>
        <v>0</v>
      </c>
      <c r="AT62" s="332">
        <f t="shared" si="64"/>
        <v>0</v>
      </c>
      <c r="AU62" s="332">
        <f t="shared" si="64"/>
        <v>0</v>
      </c>
      <c r="AV62" s="332">
        <f t="shared" si="64"/>
        <v>0</v>
      </c>
      <c r="AW62" s="306">
        <f t="shared" si="64"/>
        <v>0</v>
      </c>
      <c r="AX62" s="306">
        <f t="shared" si="64"/>
        <v>0</v>
      </c>
      <c r="AY62" s="306">
        <f t="shared" si="64"/>
        <v>0</v>
      </c>
      <c r="AZ62" s="306">
        <f t="shared" si="64"/>
        <v>0</v>
      </c>
      <c r="BA62" s="306">
        <f t="shared" si="64"/>
        <v>0</v>
      </c>
      <c r="BB62" s="306">
        <f t="shared" si="64"/>
        <v>0</v>
      </c>
      <c r="BC62" s="306">
        <f t="shared" si="64"/>
        <v>0</v>
      </c>
      <c r="BD62" s="593"/>
      <c r="BE62" s="84">
        <f t="shared" ref="BE62:BH62" si="65">BE15*BE$50</f>
        <v>0</v>
      </c>
      <c r="BF62" s="84">
        <f t="shared" si="65"/>
        <v>0</v>
      </c>
      <c r="BG62" s="84">
        <f t="shared" si="65"/>
        <v>0</v>
      </c>
      <c r="BH62" s="84">
        <f t="shared" si="65"/>
        <v>0</v>
      </c>
      <c r="BI62" s="593"/>
      <c r="BJ62" s="84">
        <f t="shared" ref="BJ62:BW62" si="66">BJ15*BJ$50/60</f>
        <v>0</v>
      </c>
      <c r="BK62" s="84">
        <f t="shared" si="66"/>
        <v>0</v>
      </c>
      <c r="BL62" s="84">
        <f t="shared" si="66"/>
        <v>0</v>
      </c>
      <c r="BM62" s="84">
        <f t="shared" si="66"/>
        <v>0</v>
      </c>
      <c r="BN62" s="84">
        <f t="shared" si="66"/>
        <v>0</v>
      </c>
      <c r="BO62" s="84">
        <f t="shared" si="66"/>
        <v>0</v>
      </c>
      <c r="BP62" s="84">
        <f t="shared" si="66"/>
        <v>0</v>
      </c>
      <c r="BQ62" s="84">
        <f t="shared" si="66"/>
        <v>0</v>
      </c>
      <c r="BR62" s="84">
        <f t="shared" si="66"/>
        <v>0</v>
      </c>
      <c r="BS62" s="84">
        <f t="shared" si="66"/>
        <v>0</v>
      </c>
      <c r="BT62" s="84">
        <f t="shared" si="66"/>
        <v>0</v>
      </c>
      <c r="BU62" s="84">
        <f t="shared" si="66"/>
        <v>0</v>
      </c>
      <c r="BV62" s="84">
        <f t="shared" si="66"/>
        <v>0</v>
      </c>
      <c r="BW62" s="84">
        <f t="shared" si="66"/>
        <v>0</v>
      </c>
      <c r="BX62" s="599"/>
      <c r="BY62" s="100">
        <f t="shared" si="17"/>
        <v>257953.84615384613</v>
      </c>
      <c r="CC62" s="582"/>
      <c r="CD62" s="201"/>
      <c r="CE62" s="201"/>
      <c r="CF62" s="201"/>
    </row>
    <row r="63" spans="1:84">
      <c r="A63" s="418">
        <f t="shared" ref="A63:A88" si="67">A16</f>
        <v>38</v>
      </c>
      <c r="B63" s="96" t="str">
        <f t="shared" si="54"/>
        <v>NV38</v>
      </c>
      <c r="C63" s="96" t="str">
        <f t="shared" si="54"/>
        <v>Nguyễn Văn Rắng</v>
      </c>
      <c r="D63" s="96" t="str">
        <f t="shared" si="54"/>
        <v xml:space="preserve">Công nhân </v>
      </c>
      <c r="E63" s="84">
        <f t="shared" ref="E63:T63" si="68">E16*E$50</f>
        <v>0</v>
      </c>
      <c r="F63" s="84">
        <f t="shared" si="68"/>
        <v>0</v>
      </c>
      <c r="G63" s="84">
        <f t="shared" si="68"/>
        <v>0</v>
      </c>
      <c r="H63" s="84">
        <f t="shared" si="68"/>
        <v>0</v>
      </c>
      <c r="I63" s="84">
        <f t="shared" si="68"/>
        <v>0</v>
      </c>
      <c r="J63" s="84">
        <f t="shared" si="68"/>
        <v>0</v>
      </c>
      <c r="K63" s="84">
        <f t="shared" si="68"/>
        <v>0</v>
      </c>
      <c r="L63" s="84">
        <f t="shared" si="68"/>
        <v>0</v>
      </c>
      <c r="M63" s="84">
        <f t="shared" si="68"/>
        <v>0</v>
      </c>
      <c r="N63" s="84">
        <f t="shared" si="68"/>
        <v>0</v>
      </c>
      <c r="O63" s="84">
        <f t="shared" si="68"/>
        <v>0</v>
      </c>
      <c r="P63" s="84">
        <f t="shared" si="68"/>
        <v>0</v>
      </c>
      <c r="Q63" s="84">
        <f t="shared" si="68"/>
        <v>0</v>
      </c>
      <c r="R63" s="84">
        <f t="shared" si="68"/>
        <v>0</v>
      </c>
      <c r="S63" s="84">
        <f t="shared" si="68"/>
        <v>0</v>
      </c>
      <c r="T63" s="84">
        <f t="shared" si="68"/>
        <v>0</v>
      </c>
      <c r="U63" s="593"/>
      <c r="V63" s="84">
        <f t="shared" ref="V63:AJ63" si="69">V16*V$50</f>
        <v>0</v>
      </c>
      <c r="W63" s="84">
        <f t="shared" si="69"/>
        <v>0</v>
      </c>
      <c r="X63" s="84">
        <f t="shared" si="69"/>
        <v>0</v>
      </c>
      <c r="Y63" s="84">
        <f t="shared" si="69"/>
        <v>0</v>
      </c>
      <c r="Z63" s="84">
        <f t="shared" si="69"/>
        <v>0</v>
      </c>
      <c r="AA63" s="84">
        <f t="shared" si="69"/>
        <v>0</v>
      </c>
      <c r="AB63" s="84">
        <f t="shared" si="69"/>
        <v>0</v>
      </c>
      <c r="AC63" s="84">
        <f t="shared" si="69"/>
        <v>0</v>
      </c>
      <c r="AD63" s="84">
        <f t="shared" si="69"/>
        <v>0</v>
      </c>
      <c r="AE63" s="84">
        <f t="shared" si="69"/>
        <v>0</v>
      </c>
      <c r="AF63" s="84">
        <f t="shared" si="69"/>
        <v>0</v>
      </c>
      <c r="AG63" s="84">
        <f t="shared" si="69"/>
        <v>0</v>
      </c>
      <c r="AH63" s="84">
        <f t="shared" si="69"/>
        <v>0</v>
      </c>
      <c r="AI63" s="84">
        <f t="shared" si="69"/>
        <v>0</v>
      </c>
      <c r="AJ63" s="84">
        <f t="shared" si="69"/>
        <v>0</v>
      </c>
      <c r="AK63" s="593"/>
      <c r="AL63" s="84">
        <f t="shared" ref="AL63:AO63" si="70">AL16*AL$50</f>
        <v>126173.07692307692</v>
      </c>
      <c r="AM63" s="84">
        <f t="shared" si="70"/>
        <v>33646.153846153844</v>
      </c>
      <c r="AN63" s="84">
        <f t="shared" si="70"/>
        <v>0</v>
      </c>
      <c r="AO63" s="84">
        <f t="shared" si="70"/>
        <v>98134.615384615376</v>
      </c>
      <c r="AP63" s="597"/>
      <c r="AQ63" s="332">
        <f t="shared" ref="AQ63:BC63" si="71">AQ16*AQ$50</f>
        <v>0</v>
      </c>
      <c r="AR63" s="332">
        <f t="shared" si="71"/>
        <v>0</v>
      </c>
      <c r="AS63" s="332">
        <f t="shared" si="71"/>
        <v>0</v>
      </c>
      <c r="AT63" s="332">
        <f t="shared" si="71"/>
        <v>0</v>
      </c>
      <c r="AU63" s="332">
        <f t="shared" si="71"/>
        <v>0</v>
      </c>
      <c r="AV63" s="332">
        <f t="shared" si="71"/>
        <v>0</v>
      </c>
      <c r="AW63" s="306">
        <f t="shared" si="71"/>
        <v>0</v>
      </c>
      <c r="AX63" s="306">
        <f t="shared" si="71"/>
        <v>0</v>
      </c>
      <c r="AY63" s="306">
        <f t="shared" si="71"/>
        <v>0</v>
      </c>
      <c r="AZ63" s="306">
        <f t="shared" si="71"/>
        <v>0</v>
      </c>
      <c r="BA63" s="306">
        <f t="shared" si="71"/>
        <v>0</v>
      </c>
      <c r="BB63" s="306">
        <f t="shared" si="71"/>
        <v>0</v>
      </c>
      <c r="BC63" s="306">
        <f t="shared" si="71"/>
        <v>0</v>
      </c>
      <c r="BD63" s="593"/>
      <c r="BE63" s="84">
        <f t="shared" ref="BE63:BH63" si="72">BE16*BE$50</f>
        <v>0</v>
      </c>
      <c r="BF63" s="84">
        <f t="shared" si="72"/>
        <v>0</v>
      </c>
      <c r="BG63" s="84">
        <f t="shared" si="72"/>
        <v>0</v>
      </c>
      <c r="BH63" s="84">
        <f t="shared" si="72"/>
        <v>0</v>
      </c>
      <c r="BI63" s="593"/>
      <c r="BJ63" s="84">
        <f t="shared" ref="BJ63:BW63" si="73">BJ16*BJ$50/60</f>
        <v>0</v>
      </c>
      <c r="BK63" s="84">
        <f t="shared" si="73"/>
        <v>0</v>
      </c>
      <c r="BL63" s="84">
        <f t="shared" si="73"/>
        <v>0</v>
      </c>
      <c r="BM63" s="84">
        <f t="shared" si="73"/>
        <v>0</v>
      </c>
      <c r="BN63" s="84">
        <f t="shared" si="73"/>
        <v>0</v>
      </c>
      <c r="BO63" s="84">
        <f t="shared" si="73"/>
        <v>0</v>
      </c>
      <c r="BP63" s="84">
        <f t="shared" si="73"/>
        <v>0</v>
      </c>
      <c r="BQ63" s="84">
        <f t="shared" si="73"/>
        <v>0</v>
      </c>
      <c r="BR63" s="84">
        <f t="shared" si="73"/>
        <v>0</v>
      </c>
      <c r="BS63" s="84">
        <f t="shared" si="73"/>
        <v>0</v>
      </c>
      <c r="BT63" s="84">
        <f t="shared" si="73"/>
        <v>0</v>
      </c>
      <c r="BU63" s="84">
        <f t="shared" si="73"/>
        <v>0</v>
      </c>
      <c r="BV63" s="84">
        <f t="shared" si="73"/>
        <v>0</v>
      </c>
      <c r="BW63" s="84">
        <f t="shared" si="73"/>
        <v>0</v>
      </c>
      <c r="BX63" s="599"/>
      <c r="BY63" s="100">
        <f>SUM(E63:BX63)</f>
        <v>257953.84615384613</v>
      </c>
    </row>
    <row r="64" spans="1:84" s="581" customFormat="1" ht="17.25" customHeight="1">
      <c r="A64" s="418">
        <f t="shared" si="67"/>
        <v>13</v>
      </c>
      <c r="B64" s="96" t="str">
        <f t="shared" si="54"/>
        <v>NV13</v>
      </c>
      <c r="C64" s="96" t="str">
        <f t="shared" si="54"/>
        <v>Triệu Minh Tú</v>
      </c>
      <c r="D64" s="96" t="str">
        <f t="shared" si="54"/>
        <v>Lái xe cơ giới</v>
      </c>
      <c r="E64" s="84">
        <f t="shared" ref="E64:T64" si="74">E17*E$50</f>
        <v>0</v>
      </c>
      <c r="F64" s="84">
        <f t="shared" si="74"/>
        <v>0</v>
      </c>
      <c r="G64" s="84">
        <f t="shared" si="74"/>
        <v>0</v>
      </c>
      <c r="H64" s="84">
        <f t="shared" si="74"/>
        <v>0</v>
      </c>
      <c r="I64" s="84">
        <f t="shared" si="74"/>
        <v>0</v>
      </c>
      <c r="J64" s="84">
        <f t="shared" si="74"/>
        <v>0</v>
      </c>
      <c r="K64" s="84">
        <f t="shared" si="74"/>
        <v>0</v>
      </c>
      <c r="L64" s="84">
        <f t="shared" si="74"/>
        <v>0</v>
      </c>
      <c r="M64" s="84">
        <f t="shared" si="74"/>
        <v>0</v>
      </c>
      <c r="N64" s="84">
        <f t="shared" si="74"/>
        <v>0</v>
      </c>
      <c r="O64" s="84">
        <f t="shared" si="74"/>
        <v>0</v>
      </c>
      <c r="P64" s="84">
        <f t="shared" si="74"/>
        <v>0</v>
      </c>
      <c r="Q64" s="84">
        <f t="shared" si="74"/>
        <v>0</v>
      </c>
      <c r="R64" s="84">
        <f t="shared" si="74"/>
        <v>0</v>
      </c>
      <c r="S64" s="84">
        <f t="shared" si="74"/>
        <v>0</v>
      </c>
      <c r="T64" s="84">
        <f t="shared" si="74"/>
        <v>0</v>
      </c>
      <c r="U64" s="593"/>
      <c r="V64" s="84">
        <f t="shared" ref="V64:AJ64" si="75">V17*V$50</f>
        <v>0</v>
      </c>
      <c r="W64" s="84">
        <f t="shared" si="75"/>
        <v>0</v>
      </c>
      <c r="X64" s="84">
        <f t="shared" si="75"/>
        <v>0</v>
      </c>
      <c r="Y64" s="84">
        <f t="shared" si="75"/>
        <v>0</v>
      </c>
      <c r="Z64" s="84">
        <f t="shared" si="75"/>
        <v>0</v>
      </c>
      <c r="AA64" s="84">
        <f t="shared" si="75"/>
        <v>0</v>
      </c>
      <c r="AB64" s="84">
        <f t="shared" si="75"/>
        <v>0</v>
      </c>
      <c r="AC64" s="84">
        <f t="shared" si="75"/>
        <v>0</v>
      </c>
      <c r="AD64" s="84">
        <f t="shared" si="75"/>
        <v>0</v>
      </c>
      <c r="AE64" s="84">
        <f t="shared" si="75"/>
        <v>0</v>
      </c>
      <c r="AF64" s="84">
        <f t="shared" si="75"/>
        <v>0</v>
      </c>
      <c r="AG64" s="84">
        <f t="shared" si="75"/>
        <v>0</v>
      </c>
      <c r="AH64" s="84">
        <f t="shared" si="75"/>
        <v>0</v>
      </c>
      <c r="AI64" s="84">
        <f t="shared" si="75"/>
        <v>0</v>
      </c>
      <c r="AJ64" s="84">
        <f t="shared" si="75"/>
        <v>0</v>
      </c>
      <c r="AK64" s="593"/>
      <c r="AL64" s="84">
        <f t="shared" ref="AL64:AO64" si="76">AL17*AL$50</f>
        <v>0</v>
      </c>
      <c r="AM64" s="84">
        <f t="shared" si="76"/>
        <v>0</v>
      </c>
      <c r="AN64" s="84">
        <f t="shared" si="76"/>
        <v>0</v>
      </c>
      <c r="AO64" s="84">
        <f t="shared" si="76"/>
        <v>0</v>
      </c>
      <c r="AP64" s="597"/>
      <c r="AQ64" s="332">
        <f t="shared" ref="AQ64:BC64" si="77">AQ17*AQ$50</f>
        <v>0</v>
      </c>
      <c r="AR64" s="332">
        <f t="shared" si="77"/>
        <v>0</v>
      </c>
      <c r="AS64" s="332">
        <f t="shared" si="77"/>
        <v>0</v>
      </c>
      <c r="AT64" s="332">
        <f t="shared" si="77"/>
        <v>0</v>
      </c>
      <c r="AU64" s="332">
        <f t="shared" si="77"/>
        <v>0</v>
      </c>
      <c r="AV64" s="332">
        <f t="shared" si="77"/>
        <v>0</v>
      </c>
      <c r="AW64" s="306">
        <f t="shared" si="77"/>
        <v>0</v>
      </c>
      <c r="AX64" s="306">
        <f t="shared" si="77"/>
        <v>0</v>
      </c>
      <c r="AY64" s="306">
        <f t="shared" si="77"/>
        <v>0</v>
      </c>
      <c r="AZ64" s="306">
        <f t="shared" si="77"/>
        <v>0</v>
      </c>
      <c r="BA64" s="306">
        <f t="shared" si="77"/>
        <v>0</v>
      </c>
      <c r="BB64" s="306">
        <f t="shared" si="77"/>
        <v>0</v>
      </c>
      <c r="BC64" s="306">
        <f t="shared" si="77"/>
        <v>0</v>
      </c>
      <c r="BD64" s="593"/>
      <c r="BE64" s="84">
        <f t="shared" ref="BE64:BH64" si="78">BE17*BE$50</f>
        <v>0</v>
      </c>
      <c r="BF64" s="84">
        <f t="shared" si="78"/>
        <v>0</v>
      </c>
      <c r="BG64" s="84">
        <f t="shared" si="78"/>
        <v>0</v>
      </c>
      <c r="BH64" s="84">
        <f t="shared" si="78"/>
        <v>0</v>
      </c>
      <c r="BI64" s="593"/>
      <c r="BJ64" s="84">
        <f t="shared" ref="BJ64:BW64" si="79">BJ17*BJ$50/60</f>
        <v>0</v>
      </c>
      <c r="BK64" s="84">
        <f t="shared" si="79"/>
        <v>0</v>
      </c>
      <c r="BL64" s="84">
        <f t="shared" si="79"/>
        <v>0</v>
      </c>
      <c r="BM64" s="84">
        <f t="shared" si="79"/>
        <v>0</v>
      </c>
      <c r="BN64" s="84">
        <f t="shared" si="79"/>
        <v>0</v>
      </c>
      <c r="BO64" s="84">
        <f t="shared" si="79"/>
        <v>0</v>
      </c>
      <c r="BP64" s="84">
        <f t="shared" si="79"/>
        <v>0</v>
      </c>
      <c r="BQ64" s="84">
        <f t="shared" si="79"/>
        <v>0</v>
      </c>
      <c r="BR64" s="84">
        <f t="shared" si="79"/>
        <v>0</v>
      </c>
      <c r="BS64" s="84">
        <f t="shared" si="79"/>
        <v>0</v>
      </c>
      <c r="BT64" s="84">
        <f t="shared" si="79"/>
        <v>0</v>
      </c>
      <c r="BU64" s="84">
        <f t="shared" si="79"/>
        <v>0</v>
      </c>
      <c r="BV64" s="84">
        <f t="shared" si="79"/>
        <v>0</v>
      </c>
      <c r="BW64" s="84">
        <f t="shared" si="79"/>
        <v>0</v>
      </c>
      <c r="BX64" s="599"/>
      <c r="BY64" s="100">
        <f t="shared" si="17"/>
        <v>0</v>
      </c>
      <c r="CC64" s="582"/>
    </row>
    <row r="65" spans="1:81" s="107" customFormat="1" ht="17.25" customHeight="1">
      <c r="A65" s="418">
        <f t="shared" si="67"/>
        <v>14</v>
      </c>
      <c r="B65" s="96" t="str">
        <f t="shared" si="54"/>
        <v>NV14</v>
      </c>
      <c r="C65" s="96" t="str">
        <f t="shared" si="54"/>
        <v>Nguyễn Văn Chạy</v>
      </c>
      <c r="D65" s="96" t="str">
        <f t="shared" si="54"/>
        <v>Lái xe cơ giới</v>
      </c>
      <c r="E65" s="84">
        <f t="shared" ref="E65:T65" si="80">E18*E$50</f>
        <v>0</v>
      </c>
      <c r="F65" s="84">
        <f t="shared" si="80"/>
        <v>0</v>
      </c>
      <c r="G65" s="84">
        <f t="shared" si="80"/>
        <v>0</v>
      </c>
      <c r="H65" s="84">
        <f t="shared" si="80"/>
        <v>0</v>
      </c>
      <c r="I65" s="84">
        <f t="shared" si="80"/>
        <v>0</v>
      </c>
      <c r="J65" s="84">
        <f t="shared" si="80"/>
        <v>0</v>
      </c>
      <c r="K65" s="84">
        <f t="shared" si="80"/>
        <v>0</v>
      </c>
      <c r="L65" s="84">
        <f t="shared" si="80"/>
        <v>0</v>
      </c>
      <c r="M65" s="84">
        <f t="shared" si="80"/>
        <v>0</v>
      </c>
      <c r="N65" s="84">
        <f t="shared" si="80"/>
        <v>0</v>
      </c>
      <c r="O65" s="84">
        <f t="shared" si="80"/>
        <v>0</v>
      </c>
      <c r="P65" s="84">
        <f t="shared" si="80"/>
        <v>0</v>
      </c>
      <c r="Q65" s="84">
        <f t="shared" si="80"/>
        <v>0</v>
      </c>
      <c r="R65" s="84">
        <f t="shared" si="80"/>
        <v>0</v>
      </c>
      <c r="S65" s="84">
        <f t="shared" si="80"/>
        <v>0</v>
      </c>
      <c r="T65" s="84">
        <f t="shared" si="80"/>
        <v>0</v>
      </c>
      <c r="U65" s="593"/>
      <c r="V65" s="84">
        <f t="shared" ref="V65:AJ65" si="81">V18*V$50</f>
        <v>0</v>
      </c>
      <c r="W65" s="84">
        <f t="shared" si="81"/>
        <v>0</v>
      </c>
      <c r="X65" s="84">
        <f t="shared" si="81"/>
        <v>0</v>
      </c>
      <c r="Y65" s="84">
        <f t="shared" si="81"/>
        <v>0</v>
      </c>
      <c r="Z65" s="84">
        <f t="shared" si="81"/>
        <v>0</v>
      </c>
      <c r="AA65" s="84">
        <f t="shared" si="81"/>
        <v>0</v>
      </c>
      <c r="AB65" s="84">
        <f t="shared" si="81"/>
        <v>0</v>
      </c>
      <c r="AC65" s="84">
        <f t="shared" si="81"/>
        <v>0</v>
      </c>
      <c r="AD65" s="84">
        <f t="shared" si="81"/>
        <v>0</v>
      </c>
      <c r="AE65" s="84">
        <f t="shared" si="81"/>
        <v>0</v>
      </c>
      <c r="AF65" s="84">
        <f t="shared" si="81"/>
        <v>0</v>
      </c>
      <c r="AG65" s="84">
        <f t="shared" si="81"/>
        <v>0</v>
      </c>
      <c r="AH65" s="84">
        <f t="shared" si="81"/>
        <v>0</v>
      </c>
      <c r="AI65" s="84">
        <f t="shared" si="81"/>
        <v>0</v>
      </c>
      <c r="AJ65" s="84">
        <f t="shared" si="81"/>
        <v>0</v>
      </c>
      <c r="AK65" s="593"/>
      <c r="AL65" s="84">
        <f t="shared" ref="AL65:AO65" si="82">AL18*AL$50</f>
        <v>0</v>
      </c>
      <c r="AM65" s="84">
        <f t="shared" si="82"/>
        <v>0</v>
      </c>
      <c r="AN65" s="84">
        <f t="shared" si="82"/>
        <v>0</v>
      </c>
      <c r="AO65" s="84">
        <f t="shared" si="82"/>
        <v>0</v>
      </c>
      <c r="AP65" s="597"/>
      <c r="AQ65" s="332">
        <f t="shared" ref="AQ65:BC65" si="83">AQ18*AQ$50</f>
        <v>0</v>
      </c>
      <c r="AR65" s="332">
        <f t="shared" si="83"/>
        <v>0</v>
      </c>
      <c r="AS65" s="332">
        <f t="shared" si="83"/>
        <v>0</v>
      </c>
      <c r="AT65" s="332">
        <f t="shared" si="83"/>
        <v>0</v>
      </c>
      <c r="AU65" s="332">
        <f t="shared" si="83"/>
        <v>0</v>
      </c>
      <c r="AV65" s="332">
        <f t="shared" si="83"/>
        <v>0</v>
      </c>
      <c r="AW65" s="306">
        <f t="shared" si="83"/>
        <v>0</v>
      </c>
      <c r="AX65" s="306">
        <f t="shared" si="83"/>
        <v>0</v>
      </c>
      <c r="AY65" s="306">
        <f t="shared" si="83"/>
        <v>0</v>
      </c>
      <c r="AZ65" s="306">
        <f t="shared" si="83"/>
        <v>0</v>
      </c>
      <c r="BA65" s="306">
        <f t="shared" si="83"/>
        <v>0</v>
      </c>
      <c r="BB65" s="306">
        <f t="shared" si="83"/>
        <v>0</v>
      </c>
      <c r="BC65" s="306">
        <f t="shared" si="83"/>
        <v>0</v>
      </c>
      <c r="BD65" s="593"/>
      <c r="BE65" s="84">
        <f t="shared" ref="BE65:BH65" si="84">BE18*BE$50</f>
        <v>0</v>
      </c>
      <c r="BF65" s="84">
        <f t="shared" si="84"/>
        <v>0</v>
      </c>
      <c r="BG65" s="84">
        <f t="shared" si="84"/>
        <v>0</v>
      </c>
      <c r="BH65" s="84">
        <f t="shared" si="84"/>
        <v>0</v>
      </c>
      <c r="BI65" s="593"/>
      <c r="BJ65" s="84">
        <f t="shared" ref="BJ65:BW65" si="85">BJ18*BJ$50/60</f>
        <v>0</v>
      </c>
      <c r="BK65" s="84">
        <f t="shared" si="85"/>
        <v>0</v>
      </c>
      <c r="BL65" s="84">
        <f t="shared" si="85"/>
        <v>0</v>
      </c>
      <c r="BM65" s="84">
        <f t="shared" si="85"/>
        <v>0</v>
      </c>
      <c r="BN65" s="84">
        <f t="shared" si="85"/>
        <v>0</v>
      </c>
      <c r="BO65" s="84">
        <f t="shared" si="85"/>
        <v>0</v>
      </c>
      <c r="BP65" s="84">
        <f t="shared" si="85"/>
        <v>0</v>
      </c>
      <c r="BQ65" s="84">
        <f t="shared" si="85"/>
        <v>0</v>
      </c>
      <c r="BR65" s="84">
        <f t="shared" si="85"/>
        <v>0</v>
      </c>
      <c r="BS65" s="84">
        <f t="shared" si="85"/>
        <v>0</v>
      </c>
      <c r="BT65" s="84">
        <f t="shared" si="85"/>
        <v>0</v>
      </c>
      <c r="BU65" s="84">
        <f t="shared" si="85"/>
        <v>0</v>
      </c>
      <c r="BV65" s="84">
        <f t="shared" si="85"/>
        <v>0</v>
      </c>
      <c r="BW65" s="84">
        <f t="shared" si="85"/>
        <v>0</v>
      </c>
      <c r="BX65" s="599"/>
      <c r="BY65" s="100">
        <f t="shared" si="17"/>
        <v>0</v>
      </c>
      <c r="CC65" s="108"/>
    </row>
    <row r="66" spans="1:81" s="581" customFormat="1" ht="17.25" customHeight="1">
      <c r="A66" s="418">
        <f t="shared" si="67"/>
        <v>15</v>
      </c>
      <c r="B66" s="96" t="str">
        <f t="shared" si="54"/>
        <v>NV15</v>
      </c>
      <c r="C66" s="96" t="str">
        <f t="shared" si="54"/>
        <v>Hà Hoàng Hùng</v>
      </c>
      <c r="D66" s="96" t="str">
        <f t="shared" si="54"/>
        <v>Lái xe cơ giới</v>
      </c>
      <c r="E66" s="84">
        <f t="shared" ref="E66:T66" si="86">E19*E$50</f>
        <v>0</v>
      </c>
      <c r="F66" s="84">
        <f t="shared" si="86"/>
        <v>0</v>
      </c>
      <c r="G66" s="84">
        <f t="shared" si="86"/>
        <v>0</v>
      </c>
      <c r="H66" s="84">
        <f t="shared" si="86"/>
        <v>0</v>
      </c>
      <c r="I66" s="84">
        <f t="shared" si="86"/>
        <v>0</v>
      </c>
      <c r="J66" s="84">
        <f t="shared" si="86"/>
        <v>0</v>
      </c>
      <c r="K66" s="84">
        <f t="shared" si="86"/>
        <v>0</v>
      </c>
      <c r="L66" s="84">
        <f t="shared" si="86"/>
        <v>0</v>
      </c>
      <c r="M66" s="84">
        <f t="shared" si="86"/>
        <v>0</v>
      </c>
      <c r="N66" s="84">
        <f t="shared" si="86"/>
        <v>0</v>
      </c>
      <c r="O66" s="84">
        <f t="shared" si="86"/>
        <v>0</v>
      </c>
      <c r="P66" s="84">
        <f t="shared" si="86"/>
        <v>0</v>
      </c>
      <c r="Q66" s="84">
        <f t="shared" si="86"/>
        <v>0</v>
      </c>
      <c r="R66" s="84">
        <f t="shared" si="86"/>
        <v>0</v>
      </c>
      <c r="S66" s="84">
        <f t="shared" si="86"/>
        <v>0</v>
      </c>
      <c r="T66" s="84">
        <f t="shared" si="86"/>
        <v>0</v>
      </c>
      <c r="U66" s="593"/>
      <c r="V66" s="84">
        <f t="shared" ref="V66:AJ66" si="87">V19*V$50</f>
        <v>0</v>
      </c>
      <c r="W66" s="84">
        <f t="shared" si="87"/>
        <v>0</v>
      </c>
      <c r="X66" s="84">
        <f t="shared" si="87"/>
        <v>0</v>
      </c>
      <c r="Y66" s="84">
        <f t="shared" si="87"/>
        <v>0</v>
      </c>
      <c r="Z66" s="84">
        <f t="shared" si="87"/>
        <v>0</v>
      </c>
      <c r="AA66" s="84">
        <f t="shared" si="87"/>
        <v>0</v>
      </c>
      <c r="AB66" s="84">
        <f t="shared" si="87"/>
        <v>0</v>
      </c>
      <c r="AC66" s="84">
        <f t="shared" si="87"/>
        <v>0</v>
      </c>
      <c r="AD66" s="84">
        <f t="shared" si="87"/>
        <v>0</v>
      </c>
      <c r="AE66" s="84">
        <f t="shared" si="87"/>
        <v>0</v>
      </c>
      <c r="AF66" s="84">
        <f t="shared" si="87"/>
        <v>0</v>
      </c>
      <c r="AG66" s="84">
        <f t="shared" si="87"/>
        <v>0</v>
      </c>
      <c r="AH66" s="84">
        <f t="shared" si="87"/>
        <v>0</v>
      </c>
      <c r="AI66" s="84">
        <f t="shared" si="87"/>
        <v>0</v>
      </c>
      <c r="AJ66" s="84">
        <f t="shared" si="87"/>
        <v>0</v>
      </c>
      <c r="AK66" s="593"/>
      <c r="AL66" s="84">
        <f t="shared" ref="AL66:AO66" si="88">AL19*AL$50</f>
        <v>0</v>
      </c>
      <c r="AM66" s="84">
        <f t="shared" si="88"/>
        <v>0</v>
      </c>
      <c r="AN66" s="84">
        <f t="shared" si="88"/>
        <v>0</v>
      </c>
      <c r="AO66" s="84">
        <f t="shared" si="88"/>
        <v>0</v>
      </c>
      <c r="AP66" s="597"/>
      <c r="AQ66" s="332">
        <f t="shared" ref="AQ66:BC66" si="89">AQ19*AQ$50</f>
        <v>0</v>
      </c>
      <c r="AR66" s="332">
        <f t="shared" si="89"/>
        <v>0</v>
      </c>
      <c r="AS66" s="332">
        <f t="shared" si="89"/>
        <v>0</v>
      </c>
      <c r="AT66" s="332">
        <f t="shared" si="89"/>
        <v>0</v>
      </c>
      <c r="AU66" s="332">
        <f t="shared" si="89"/>
        <v>0</v>
      </c>
      <c r="AV66" s="332">
        <f t="shared" si="89"/>
        <v>0</v>
      </c>
      <c r="AW66" s="306">
        <f t="shared" si="89"/>
        <v>0</v>
      </c>
      <c r="AX66" s="306">
        <f t="shared" si="89"/>
        <v>0</v>
      </c>
      <c r="AY66" s="306">
        <f t="shared" si="89"/>
        <v>0</v>
      </c>
      <c r="AZ66" s="306">
        <f t="shared" si="89"/>
        <v>0</v>
      </c>
      <c r="BA66" s="306">
        <f t="shared" si="89"/>
        <v>0</v>
      </c>
      <c r="BB66" s="306">
        <f t="shared" si="89"/>
        <v>0</v>
      </c>
      <c r="BC66" s="306">
        <f t="shared" si="89"/>
        <v>0</v>
      </c>
      <c r="BD66" s="593"/>
      <c r="BE66" s="84">
        <f t="shared" ref="BE66:BH66" si="90">BE19*BE$50</f>
        <v>0</v>
      </c>
      <c r="BF66" s="84">
        <f t="shared" si="90"/>
        <v>0</v>
      </c>
      <c r="BG66" s="84">
        <f t="shared" si="90"/>
        <v>0</v>
      </c>
      <c r="BH66" s="84">
        <f t="shared" si="90"/>
        <v>0</v>
      </c>
      <c r="BI66" s="593"/>
      <c r="BJ66" s="84">
        <f t="shared" ref="BJ66:BW66" si="91">BJ19*BJ$50/60</f>
        <v>0</v>
      </c>
      <c r="BK66" s="84">
        <f t="shared" si="91"/>
        <v>0</v>
      </c>
      <c r="BL66" s="84">
        <f t="shared" si="91"/>
        <v>0</v>
      </c>
      <c r="BM66" s="84">
        <f t="shared" si="91"/>
        <v>0</v>
      </c>
      <c r="BN66" s="84">
        <f t="shared" si="91"/>
        <v>0</v>
      </c>
      <c r="BO66" s="84">
        <f t="shared" si="91"/>
        <v>0</v>
      </c>
      <c r="BP66" s="84">
        <f t="shared" si="91"/>
        <v>0</v>
      </c>
      <c r="BQ66" s="84">
        <f t="shared" si="91"/>
        <v>0</v>
      </c>
      <c r="BR66" s="84">
        <f t="shared" si="91"/>
        <v>0</v>
      </c>
      <c r="BS66" s="84">
        <f t="shared" si="91"/>
        <v>0</v>
      </c>
      <c r="BT66" s="84">
        <f t="shared" si="91"/>
        <v>0</v>
      </c>
      <c r="BU66" s="84">
        <f t="shared" si="91"/>
        <v>0</v>
      </c>
      <c r="BV66" s="84">
        <f t="shared" si="91"/>
        <v>0</v>
      </c>
      <c r="BW66" s="84">
        <f t="shared" si="91"/>
        <v>0</v>
      </c>
      <c r="BX66" s="599"/>
      <c r="BY66" s="100">
        <f t="shared" si="17"/>
        <v>0</v>
      </c>
      <c r="CC66" s="582"/>
    </row>
    <row r="67" spans="1:81" s="581" customFormat="1" ht="17.25" customHeight="1">
      <c r="A67" s="418">
        <f t="shared" si="67"/>
        <v>16</v>
      </c>
      <c r="B67" s="96" t="str">
        <f t="shared" si="54"/>
        <v>NV16</v>
      </c>
      <c r="C67" s="96" t="str">
        <f t="shared" si="54"/>
        <v>Châu Thành Nhân</v>
      </c>
      <c r="D67" s="96" t="str">
        <f t="shared" si="54"/>
        <v>Lái xe cơ giới</v>
      </c>
      <c r="E67" s="84">
        <f t="shared" ref="E67:T67" si="92">E20*E$50</f>
        <v>0</v>
      </c>
      <c r="F67" s="84">
        <f t="shared" si="92"/>
        <v>0</v>
      </c>
      <c r="G67" s="84">
        <f t="shared" si="92"/>
        <v>0</v>
      </c>
      <c r="H67" s="84">
        <f t="shared" si="92"/>
        <v>0</v>
      </c>
      <c r="I67" s="84">
        <f t="shared" si="92"/>
        <v>0</v>
      </c>
      <c r="J67" s="84">
        <f t="shared" si="92"/>
        <v>0</v>
      </c>
      <c r="K67" s="84">
        <f t="shared" si="92"/>
        <v>0</v>
      </c>
      <c r="L67" s="84">
        <f t="shared" si="92"/>
        <v>0</v>
      </c>
      <c r="M67" s="84">
        <f t="shared" si="92"/>
        <v>0</v>
      </c>
      <c r="N67" s="84">
        <f t="shared" si="92"/>
        <v>0</v>
      </c>
      <c r="O67" s="84">
        <f t="shared" si="92"/>
        <v>0</v>
      </c>
      <c r="P67" s="84">
        <f t="shared" si="92"/>
        <v>0</v>
      </c>
      <c r="Q67" s="84">
        <f t="shared" si="92"/>
        <v>0</v>
      </c>
      <c r="R67" s="84">
        <f t="shared" si="92"/>
        <v>0</v>
      </c>
      <c r="S67" s="84">
        <f t="shared" si="92"/>
        <v>0</v>
      </c>
      <c r="T67" s="84">
        <f t="shared" si="92"/>
        <v>0</v>
      </c>
      <c r="U67" s="593"/>
      <c r="V67" s="84">
        <f t="shared" ref="V67:AJ67" si="93">V20*V$50</f>
        <v>0</v>
      </c>
      <c r="W67" s="84">
        <f t="shared" si="93"/>
        <v>0</v>
      </c>
      <c r="X67" s="84">
        <f t="shared" si="93"/>
        <v>0</v>
      </c>
      <c r="Y67" s="84">
        <f t="shared" si="93"/>
        <v>0</v>
      </c>
      <c r="Z67" s="84">
        <f t="shared" si="93"/>
        <v>0</v>
      </c>
      <c r="AA67" s="84">
        <f t="shared" si="93"/>
        <v>0</v>
      </c>
      <c r="AB67" s="84">
        <f t="shared" si="93"/>
        <v>0</v>
      </c>
      <c r="AC67" s="84">
        <f t="shared" si="93"/>
        <v>0</v>
      </c>
      <c r="AD67" s="84">
        <f t="shared" si="93"/>
        <v>0</v>
      </c>
      <c r="AE67" s="84">
        <f t="shared" si="93"/>
        <v>0</v>
      </c>
      <c r="AF67" s="84">
        <f t="shared" si="93"/>
        <v>0</v>
      </c>
      <c r="AG67" s="84">
        <f t="shared" si="93"/>
        <v>0</v>
      </c>
      <c r="AH67" s="84">
        <f t="shared" si="93"/>
        <v>0</v>
      </c>
      <c r="AI67" s="84">
        <f t="shared" si="93"/>
        <v>0</v>
      </c>
      <c r="AJ67" s="84">
        <f t="shared" si="93"/>
        <v>0</v>
      </c>
      <c r="AK67" s="593"/>
      <c r="AL67" s="84">
        <f t="shared" ref="AL67:AO67" si="94">AL20*AL$50</f>
        <v>0</v>
      </c>
      <c r="AM67" s="84">
        <f t="shared" si="94"/>
        <v>0</v>
      </c>
      <c r="AN67" s="84">
        <f t="shared" si="94"/>
        <v>0</v>
      </c>
      <c r="AO67" s="84">
        <f t="shared" si="94"/>
        <v>0</v>
      </c>
      <c r="AP67" s="597"/>
      <c r="AQ67" s="332">
        <f t="shared" ref="AQ67:BC67" si="95">AQ20*AQ$50</f>
        <v>0</v>
      </c>
      <c r="AR67" s="332">
        <f t="shared" si="95"/>
        <v>0</v>
      </c>
      <c r="AS67" s="332">
        <f t="shared" si="95"/>
        <v>0</v>
      </c>
      <c r="AT67" s="332">
        <f t="shared" si="95"/>
        <v>0</v>
      </c>
      <c r="AU67" s="332">
        <f t="shared" si="95"/>
        <v>0</v>
      </c>
      <c r="AV67" s="332">
        <f t="shared" si="95"/>
        <v>0</v>
      </c>
      <c r="AW67" s="306">
        <f t="shared" si="95"/>
        <v>0</v>
      </c>
      <c r="AX67" s="306">
        <f t="shared" si="95"/>
        <v>0</v>
      </c>
      <c r="AY67" s="306">
        <f t="shared" si="95"/>
        <v>0</v>
      </c>
      <c r="AZ67" s="306">
        <f t="shared" si="95"/>
        <v>0</v>
      </c>
      <c r="BA67" s="306">
        <f t="shared" si="95"/>
        <v>0</v>
      </c>
      <c r="BB67" s="306">
        <f t="shared" si="95"/>
        <v>0</v>
      </c>
      <c r="BC67" s="306">
        <f t="shared" si="95"/>
        <v>0</v>
      </c>
      <c r="BD67" s="593"/>
      <c r="BE67" s="84">
        <f t="shared" ref="BE67:BH67" si="96">BE20*BE$50</f>
        <v>0</v>
      </c>
      <c r="BF67" s="84">
        <f t="shared" si="96"/>
        <v>0</v>
      </c>
      <c r="BG67" s="84">
        <f t="shared" si="96"/>
        <v>0</v>
      </c>
      <c r="BH67" s="84">
        <f t="shared" si="96"/>
        <v>0</v>
      </c>
      <c r="BI67" s="593"/>
      <c r="BJ67" s="84">
        <f t="shared" ref="BJ67:BW67" si="97">BJ20*BJ$50/60</f>
        <v>0</v>
      </c>
      <c r="BK67" s="84">
        <f t="shared" si="97"/>
        <v>0</v>
      </c>
      <c r="BL67" s="84">
        <f t="shared" si="97"/>
        <v>0</v>
      </c>
      <c r="BM67" s="84">
        <f t="shared" si="97"/>
        <v>0</v>
      </c>
      <c r="BN67" s="84">
        <f t="shared" si="97"/>
        <v>0</v>
      </c>
      <c r="BO67" s="84">
        <f t="shared" si="97"/>
        <v>0</v>
      </c>
      <c r="BP67" s="84">
        <f t="shared" si="97"/>
        <v>0</v>
      </c>
      <c r="BQ67" s="84">
        <f t="shared" si="97"/>
        <v>0</v>
      </c>
      <c r="BR67" s="84">
        <f t="shared" si="97"/>
        <v>0</v>
      </c>
      <c r="BS67" s="84">
        <f t="shared" si="97"/>
        <v>0</v>
      </c>
      <c r="BT67" s="84">
        <f t="shared" si="97"/>
        <v>0</v>
      </c>
      <c r="BU67" s="84">
        <f t="shared" si="97"/>
        <v>0</v>
      </c>
      <c r="BV67" s="84">
        <f t="shared" si="97"/>
        <v>0</v>
      </c>
      <c r="BW67" s="84">
        <f t="shared" si="97"/>
        <v>0</v>
      </c>
      <c r="BX67" s="599"/>
      <c r="BY67" s="100">
        <f t="shared" si="17"/>
        <v>0</v>
      </c>
      <c r="CC67" s="582"/>
    </row>
    <row r="68" spans="1:81">
      <c r="A68" s="418">
        <f t="shared" si="67"/>
        <v>18</v>
      </c>
      <c r="B68" s="96" t="str">
        <f t="shared" si="54"/>
        <v>NV18</v>
      </c>
      <c r="C68" s="96" t="str">
        <f t="shared" si="54"/>
        <v>Châu Văn Phước</v>
      </c>
      <c r="D68" s="96" t="str">
        <f t="shared" si="54"/>
        <v>Lái xe cơ giới</v>
      </c>
      <c r="E68" s="84">
        <f t="shared" ref="E68:T68" si="98">E21*E$50</f>
        <v>0</v>
      </c>
      <c r="F68" s="84">
        <f t="shared" si="98"/>
        <v>0</v>
      </c>
      <c r="G68" s="84">
        <f t="shared" si="98"/>
        <v>0</v>
      </c>
      <c r="H68" s="84">
        <f t="shared" si="98"/>
        <v>0</v>
      </c>
      <c r="I68" s="84">
        <f t="shared" si="98"/>
        <v>0</v>
      </c>
      <c r="J68" s="84">
        <f t="shared" si="98"/>
        <v>0</v>
      </c>
      <c r="K68" s="84">
        <f t="shared" si="98"/>
        <v>0</v>
      </c>
      <c r="L68" s="84">
        <f t="shared" si="98"/>
        <v>0</v>
      </c>
      <c r="M68" s="84">
        <f t="shared" si="98"/>
        <v>0</v>
      </c>
      <c r="N68" s="84">
        <f t="shared" si="98"/>
        <v>0</v>
      </c>
      <c r="O68" s="84">
        <f t="shared" si="98"/>
        <v>0</v>
      </c>
      <c r="P68" s="84">
        <f t="shared" si="98"/>
        <v>0</v>
      </c>
      <c r="Q68" s="84">
        <f t="shared" si="98"/>
        <v>0</v>
      </c>
      <c r="R68" s="84">
        <f t="shared" si="98"/>
        <v>0</v>
      </c>
      <c r="S68" s="84">
        <f t="shared" si="98"/>
        <v>0</v>
      </c>
      <c r="T68" s="84">
        <f t="shared" si="98"/>
        <v>0</v>
      </c>
      <c r="U68" s="593"/>
      <c r="V68" s="84">
        <f t="shared" ref="V68:AJ68" si="99">V21*V$50</f>
        <v>0</v>
      </c>
      <c r="W68" s="84">
        <f t="shared" si="99"/>
        <v>0</v>
      </c>
      <c r="X68" s="84">
        <f t="shared" si="99"/>
        <v>0</v>
      </c>
      <c r="Y68" s="84">
        <f t="shared" si="99"/>
        <v>0</v>
      </c>
      <c r="Z68" s="84">
        <f t="shared" si="99"/>
        <v>0</v>
      </c>
      <c r="AA68" s="84">
        <f t="shared" si="99"/>
        <v>0</v>
      </c>
      <c r="AB68" s="84">
        <f t="shared" si="99"/>
        <v>0</v>
      </c>
      <c r="AC68" s="84">
        <f t="shared" si="99"/>
        <v>0</v>
      </c>
      <c r="AD68" s="84">
        <f t="shared" si="99"/>
        <v>0</v>
      </c>
      <c r="AE68" s="84">
        <f t="shared" si="99"/>
        <v>0</v>
      </c>
      <c r="AF68" s="84">
        <f t="shared" si="99"/>
        <v>0</v>
      </c>
      <c r="AG68" s="84">
        <f t="shared" si="99"/>
        <v>0</v>
      </c>
      <c r="AH68" s="84">
        <f t="shared" si="99"/>
        <v>0</v>
      </c>
      <c r="AI68" s="84">
        <f t="shared" si="99"/>
        <v>0</v>
      </c>
      <c r="AJ68" s="84">
        <f t="shared" si="99"/>
        <v>0</v>
      </c>
      <c r="AK68" s="593"/>
      <c r="AL68" s="84">
        <f t="shared" ref="AL68:AO68" si="100">AL21*AL$50</f>
        <v>0</v>
      </c>
      <c r="AM68" s="84">
        <f t="shared" si="100"/>
        <v>0</v>
      </c>
      <c r="AN68" s="84">
        <f t="shared" si="100"/>
        <v>0</v>
      </c>
      <c r="AO68" s="84">
        <f t="shared" si="100"/>
        <v>0</v>
      </c>
      <c r="AP68" s="597"/>
      <c r="AQ68" s="332">
        <f t="shared" ref="AQ68:BC68" si="101">AQ21*AQ$50</f>
        <v>0</v>
      </c>
      <c r="AR68" s="332">
        <f t="shared" si="101"/>
        <v>0</v>
      </c>
      <c r="AS68" s="332">
        <f t="shared" si="101"/>
        <v>0</v>
      </c>
      <c r="AT68" s="332">
        <f t="shared" si="101"/>
        <v>0</v>
      </c>
      <c r="AU68" s="332">
        <f t="shared" si="101"/>
        <v>0</v>
      </c>
      <c r="AV68" s="332">
        <f t="shared" si="101"/>
        <v>0</v>
      </c>
      <c r="AW68" s="306">
        <f t="shared" si="101"/>
        <v>0</v>
      </c>
      <c r="AX68" s="306">
        <f t="shared" si="101"/>
        <v>0</v>
      </c>
      <c r="AY68" s="306">
        <f t="shared" si="101"/>
        <v>0</v>
      </c>
      <c r="AZ68" s="306">
        <f t="shared" si="101"/>
        <v>0</v>
      </c>
      <c r="BA68" s="306">
        <f t="shared" si="101"/>
        <v>0</v>
      </c>
      <c r="BB68" s="306">
        <f t="shared" si="101"/>
        <v>0</v>
      </c>
      <c r="BC68" s="306">
        <f t="shared" si="101"/>
        <v>0</v>
      </c>
      <c r="BD68" s="593"/>
      <c r="BE68" s="84">
        <f t="shared" ref="BE68:BH68" si="102">BE21*BE$50</f>
        <v>0</v>
      </c>
      <c r="BF68" s="84">
        <f t="shared" si="102"/>
        <v>0</v>
      </c>
      <c r="BG68" s="84">
        <f t="shared" si="102"/>
        <v>0</v>
      </c>
      <c r="BH68" s="84">
        <f t="shared" si="102"/>
        <v>0</v>
      </c>
      <c r="BI68" s="593"/>
      <c r="BJ68" s="84">
        <f t="shared" ref="BJ68:BW68" si="103">BJ21*BJ$50/60</f>
        <v>0</v>
      </c>
      <c r="BK68" s="84">
        <f t="shared" si="103"/>
        <v>0</v>
      </c>
      <c r="BL68" s="84">
        <f t="shared" si="103"/>
        <v>0</v>
      </c>
      <c r="BM68" s="84">
        <f t="shared" si="103"/>
        <v>0</v>
      </c>
      <c r="BN68" s="84">
        <f t="shared" si="103"/>
        <v>0</v>
      </c>
      <c r="BO68" s="84">
        <f t="shared" si="103"/>
        <v>0</v>
      </c>
      <c r="BP68" s="84">
        <f t="shared" si="103"/>
        <v>0</v>
      </c>
      <c r="BQ68" s="84">
        <f t="shared" si="103"/>
        <v>0</v>
      </c>
      <c r="BR68" s="84">
        <f t="shared" si="103"/>
        <v>0</v>
      </c>
      <c r="BS68" s="84">
        <f t="shared" si="103"/>
        <v>0</v>
      </c>
      <c r="BT68" s="84">
        <f t="shared" si="103"/>
        <v>0</v>
      </c>
      <c r="BU68" s="84">
        <f t="shared" si="103"/>
        <v>0</v>
      </c>
      <c r="BV68" s="84">
        <f t="shared" si="103"/>
        <v>0</v>
      </c>
      <c r="BW68" s="84">
        <f t="shared" si="103"/>
        <v>0</v>
      </c>
      <c r="BX68" s="599"/>
      <c r="BY68" s="100">
        <f t="shared" si="17"/>
        <v>0</v>
      </c>
    </row>
    <row r="69" spans="1:81">
      <c r="A69" s="418">
        <f t="shared" si="67"/>
        <v>19</v>
      </c>
      <c r="B69" s="96" t="str">
        <f t="shared" si="54"/>
        <v>NV19</v>
      </c>
      <c r="C69" s="96" t="str">
        <f t="shared" si="54"/>
        <v>Thạch Giàu</v>
      </c>
      <c r="D69" s="96" t="str">
        <f t="shared" si="54"/>
        <v>Lái xe cơ giới</v>
      </c>
      <c r="E69" s="84">
        <f t="shared" ref="E69:T69" si="104">E22*E$50</f>
        <v>0</v>
      </c>
      <c r="F69" s="84">
        <f t="shared" si="104"/>
        <v>0</v>
      </c>
      <c r="G69" s="84">
        <f t="shared" si="104"/>
        <v>0</v>
      </c>
      <c r="H69" s="84">
        <f t="shared" si="104"/>
        <v>0</v>
      </c>
      <c r="I69" s="84">
        <f t="shared" si="104"/>
        <v>0</v>
      </c>
      <c r="J69" s="84">
        <f t="shared" si="104"/>
        <v>0</v>
      </c>
      <c r="K69" s="84">
        <f t="shared" si="104"/>
        <v>0</v>
      </c>
      <c r="L69" s="84">
        <f t="shared" si="104"/>
        <v>0</v>
      </c>
      <c r="M69" s="84">
        <f t="shared" si="104"/>
        <v>0</v>
      </c>
      <c r="N69" s="84">
        <f t="shared" si="104"/>
        <v>0</v>
      </c>
      <c r="O69" s="84">
        <f t="shared" si="104"/>
        <v>0</v>
      </c>
      <c r="P69" s="84">
        <f t="shared" si="104"/>
        <v>0</v>
      </c>
      <c r="Q69" s="84">
        <f t="shared" si="104"/>
        <v>0</v>
      </c>
      <c r="R69" s="84">
        <f t="shared" si="104"/>
        <v>0</v>
      </c>
      <c r="S69" s="84">
        <f t="shared" si="104"/>
        <v>0</v>
      </c>
      <c r="T69" s="84">
        <f t="shared" si="104"/>
        <v>0</v>
      </c>
      <c r="U69" s="593"/>
      <c r="V69" s="84">
        <f t="shared" ref="V69:AJ69" si="105">V22*V$50</f>
        <v>0</v>
      </c>
      <c r="W69" s="84">
        <f t="shared" si="105"/>
        <v>0</v>
      </c>
      <c r="X69" s="84">
        <f t="shared" si="105"/>
        <v>0</v>
      </c>
      <c r="Y69" s="84">
        <f t="shared" si="105"/>
        <v>0</v>
      </c>
      <c r="Z69" s="84">
        <f t="shared" si="105"/>
        <v>0</v>
      </c>
      <c r="AA69" s="84">
        <f t="shared" si="105"/>
        <v>0</v>
      </c>
      <c r="AB69" s="84">
        <f t="shared" si="105"/>
        <v>0</v>
      </c>
      <c r="AC69" s="84">
        <f t="shared" si="105"/>
        <v>0</v>
      </c>
      <c r="AD69" s="84">
        <f t="shared" si="105"/>
        <v>0</v>
      </c>
      <c r="AE69" s="84">
        <f t="shared" si="105"/>
        <v>0</v>
      </c>
      <c r="AF69" s="84">
        <f t="shared" si="105"/>
        <v>0</v>
      </c>
      <c r="AG69" s="84">
        <f t="shared" si="105"/>
        <v>0</v>
      </c>
      <c r="AH69" s="84">
        <f t="shared" si="105"/>
        <v>0</v>
      </c>
      <c r="AI69" s="84">
        <f t="shared" si="105"/>
        <v>0</v>
      </c>
      <c r="AJ69" s="84">
        <f t="shared" si="105"/>
        <v>0</v>
      </c>
      <c r="AK69" s="593"/>
      <c r="AL69" s="84">
        <f t="shared" ref="AL69:AO69" si="106">AL22*AL$50</f>
        <v>0</v>
      </c>
      <c r="AM69" s="84">
        <f t="shared" si="106"/>
        <v>0</v>
      </c>
      <c r="AN69" s="84">
        <f t="shared" si="106"/>
        <v>0</v>
      </c>
      <c r="AO69" s="84">
        <f t="shared" si="106"/>
        <v>0</v>
      </c>
      <c r="AP69" s="597"/>
      <c r="AQ69" s="332">
        <f t="shared" ref="AQ69:BC69" si="107">AQ22*AQ$50</f>
        <v>0</v>
      </c>
      <c r="AR69" s="332">
        <f t="shared" si="107"/>
        <v>0</v>
      </c>
      <c r="AS69" s="332">
        <f t="shared" si="107"/>
        <v>0</v>
      </c>
      <c r="AT69" s="332">
        <f t="shared" si="107"/>
        <v>0</v>
      </c>
      <c r="AU69" s="332">
        <f t="shared" si="107"/>
        <v>0</v>
      </c>
      <c r="AV69" s="332">
        <f t="shared" si="107"/>
        <v>0</v>
      </c>
      <c r="AW69" s="306">
        <f t="shared" si="107"/>
        <v>0</v>
      </c>
      <c r="AX69" s="306">
        <f t="shared" si="107"/>
        <v>0</v>
      </c>
      <c r="AY69" s="306">
        <f t="shared" si="107"/>
        <v>0</v>
      </c>
      <c r="AZ69" s="306">
        <f t="shared" si="107"/>
        <v>0</v>
      </c>
      <c r="BA69" s="306">
        <f t="shared" si="107"/>
        <v>0</v>
      </c>
      <c r="BB69" s="306">
        <f t="shared" si="107"/>
        <v>0</v>
      </c>
      <c r="BC69" s="306">
        <f t="shared" si="107"/>
        <v>0</v>
      </c>
      <c r="BD69" s="593"/>
      <c r="BE69" s="84">
        <f t="shared" ref="BE69:BH69" si="108">BE22*BE$50</f>
        <v>0</v>
      </c>
      <c r="BF69" s="84">
        <f t="shared" si="108"/>
        <v>0</v>
      </c>
      <c r="BG69" s="84">
        <f t="shared" si="108"/>
        <v>0</v>
      </c>
      <c r="BH69" s="84">
        <f t="shared" si="108"/>
        <v>0</v>
      </c>
      <c r="BI69" s="593"/>
      <c r="BJ69" s="84">
        <f t="shared" ref="BJ69:BW69" si="109">BJ22*BJ$50/60</f>
        <v>0</v>
      </c>
      <c r="BK69" s="84">
        <f t="shared" si="109"/>
        <v>0</v>
      </c>
      <c r="BL69" s="84">
        <f t="shared" si="109"/>
        <v>0</v>
      </c>
      <c r="BM69" s="84">
        <f t="shared" si="109"/>
        <v>0</v>
      </c>
      <c r="BN69" s="84">
        <f t="shared" si="109"/>
        <v>0</v>
      </c>
      <c r="BO69" s="84">
        <f t="shared" si="109"/>
        <v>0</v>
      </c>
      <c r="BP69" s="84">
        <f t="shared" si="109"/>
        <v>0</v>
      </c>
      <c r="BQ69" s="84">
        <f t="shared" si="109"/>
        <v>0</v>
      </c>
      <c r="BR69" s="84">
        <f t="shared" si="109"/>
        <v>0</v>
      </c>
      <c r="BS69" s="84">
        <f t="shared" si="109"/>
        <v>0</v>
      </c>
      <c r="BT69" s="84">
        <f t="shared" si="109"/>
        <v>0</v>
      </c>
      <c r="BU69" s="84">
        <f t="shared" si="109"/>
        <v>0</v>
      </c>
      <c r="BV69" s="84">
        <f t="shared" si="109"/>
        <v>0</v>
      </c>
      <c r="BW69" s="84">
        <f t="shared" si="109"/>
        <v>0</v>
      </c>
      <c r="BX69" s="599"/>
      <c r="BY69" s="100">
        <f t="shared" si="17"/>
        <v>0</v>
      </c>
    </row>
    <row r="70" spans="1:81">
      <c r="A70" s="418">
        <f t="shared" si="67"/>
        <v>20</v>
      </c>
      <c r="B70" s="96" t="str">
        <f t="shared" si="54"/>
        <v>NV20</v>
      </c>
      <c r="C70" s="96" t="str">
        <f t="shared" si="54"/>
        <v>Trần Thanh Hậu</v>
      </c>
      <c r="D70" s="96" t="str">
        <f t="shared" si="54"/>
        <v>Lái xe cơ giới</v>
      </c>
      <c r="E70" s="84">
        <f t="shared" ref="E70:T70" si="110">E23*E$50</f>
        <v>0</v>
      </c>
      <c r="F70" s="84">
        <f t="shared" si="110"/>
        <v>0</v>
      </c>
      <c r="G70" s="84">
        <f t="shared" si="110"/>
        <v>0</v>
      </c>
      <c r="H70" s="84">
        <f t="shared" si="110"/>
        <v>0</v>
      </c>
      <c r="I70" s="84">
        <f t="shared" si="110"/>
        <v>0</v>
      </c>
      <c r="J70" s="84">
        <f t="shared" si="110"/>
        <v>0</v>
      </c>
      <c r="K70" s="84">
        <f t="shared" si="110"/>
        <v>0</v>
      </c>
      <c r="L70" s="84">
        <f t="shared" si="110"/>
        <v>0</v>
      </c>
      <c r="M70" s="84">
        <f t="shared" si="110"/>
        <v>0</v>
      </c>
      <c r="N70" s="84">
        <f t="shared" si="110"/>
        <v>0</v>
      </c>
      <c r="O70" s="84">
        <f t="shared" si="110"/>
        <v>0</v>
      </c>
      <c r="P70" s="84">
        <f t="shared" si="110"/>
        <v>0</v>
      </c>
      <c r="Q70" s="84">
        <f t="shared" si="110"/>
        <v>0</v>
      </c>
      <c r="R70" s="84">
        <f t="shared" si="110"/>
        <v>0</v>
      </c>
      <c r="S70" s="84">
        <f t="shared" si="110"/>
        <v>0</v>
      </c>
      <c r="T70" s="84">
        <f t="shared" si="110"/>
        <v>0</v>
      </c>
      <c r="U70" s="593"/>
      <c r="V70" s="84">
        <f t="shared" ref="V70:AJ70" si="111">V23*V$50</f>
        <v>0</v>
      </c>
      <c r="W70" s="84">
        <f t="shared" si="111"/>
        <v>0</v>
      </c>
      <c r="X70" s="84">
        <f t="shared" si="111"/>
        <v>0</v>
      </c>
      <c r="Y70" s="84">
        <f t="shared" si="111"/>
        <v>0</v>
      </c>
      <c r="Z70" s="84">
        <f t="shared" si="111"/>
        <v>0</v>
      </c>
      <c r="AA70" s="84">
        <f t="shared" si="111"/>
        <v>0</v>
      </c>
      <c r="AB70" s="84">
        <f t="shared" si="111"/>
        <v>0</v>
      </c>
      <c r="AC70" s="84">
        <f t="shared" si="111"/>
        <v>0</v>
      </c>
      <c r="AD70" s="84">
        <f t="shared" si="111"/>
        <v>0</v>
      </c>
      <c r="AE70" s="84">
        <f t="shared" si="111"/>
        <v>0</v>
      </c>
      <c r="AF70" s="84">
        <f t="shared" si="111"/>
        <v>0</v>
      </c>
      <c r="AG70" s="84">
        <f t="shared" si="111"/>
        <v>0</v>
      </c>
      <c r="AH70" s="84">
        <f t="shared" si="111"/>
        <v>0</v>
      </c>
      <c r="AI70" s="84">
        <f t="shared" si="111"/>
        <v>0</v>
      </c>
      <c r="AJ70" s="84">
        <f t="shared" si="111"/>
        <v>0</v>
      </c>
      <c r="AK70" s="593"/>
      <c r="AL70" s="84">
        <f t="shared" ref="AL70:AO70" si="112">AL23*AL$50</f>
        <v>0</v>
      </c>
      <c r="AM70" s="84">
        <f t="shared" si="112"/>
        <v>0</v>
      </c>
      <c r="AN70" s="84">
        <f t="shared" si="112"/>
        <v>0</v>
      </c>
      <c r="AO70" s="84">
        <f t="shared" si="112"/>
        <v>0</v>
      </c>
      <c r="AP70" s="597"/>
      <c r="AQ70" s="332">
        <f t="shared" ref="AQ70:BC70" si="113">AQ23*AQ$50</f>
        <v>0</v>
      </c>
      <c r="AR70" s="332">
        <f t="shared" si="113"/>
        <v>0</v>
      </c>
      <c r="AS70" s="332">
        <f t="shared" si="113"/>
        <v>0</v>
      </c>
      <c r="AT70" s="332">
        <f t="shared" si="113"/>
        <v>0</v>
      </c>
      <c r="AU70" s="332">
        <f t="shared" si="113"/>
        <v>0</v>
      </c>
      <c r="AV70" s="332">
        <f t="shared" si="113"/>
        <v>0</v>
      </c>
      <c r="AW70" s="306">
        <f t="shared" si="113"/>
        <v>0</v>
      </c>
      <c r="AX70" s="306">
        <f t="shared" si="113"/>
        <v>0</v>
      </c>
      <c r="AY70" s="306">
        <f t="shared" si="113"/>
        <v>0</v>
      </c>
      <c r="AZ70" s="306">
        <f t="shared" si="113"/>
        <v>0</v>
      </c>
      <c r="BA70" s="306">
        <f t="shared" si="113"/>
        <v>0</v>
      </c>
      <c r="BB70" s="306">
        <f t="shared" si="113"/>
        <v>0</v>
      </c>
      <c r="BC70" s="306">
        <f t="shared" si="113"/>
        <v>0</v>
      </c>
      <c r="BD70" s="593"/>
      <c r="BE70" s="84">
        <f t="shared" ref="BE70:BH70" si="114">BE23*BE$50</f>
        <v>0</v>
      </c>
      <c r="BF70" s="84">
        <f t="shared" si="114"/>
        <v>0</v>
      </c>
      <c r="BG70" s="84">
        <f t="shared" si="114"/>
        <v>0</v>
      </c>
      <c r="BH70" s="84">
        <f t="shared" si="114"/>
        <v>0</v>
      </c>
      <c r="BI70" s="593"/>
      <c r="BJ70" s="84">
        <f t="shared" ref="BJ70:BW70" si="115">BJ23*BJ$50/60</f>
        <v>0</v>
      </c>
      <c r="BK70" s="84">
        <f t="shared" si="115"/>
        <v>0</v>
      </c>
      <c r="BL70" s="84">
        <f t="shared" si="115"/>
        <v>0</v>
      </c>
      <c r="BM70" s="84">
        <f t="shared" si="115"/>
        <v>0</v>
      </c>
      <c r="BN70" s="84">
        <f t="shared" si="115"/>
        <v>0</v>
      </c>
      <c r="BO70" s="84">
        <f t="shared" si="115"/>
        <v>0</v>
      </c>
      <c r="BP70" s="84">
        <f t="shared" si="115"/>
        <v>0</v>
      </c>
      <c r="BQ70" s="84">
        <f t="shared" si="115"/>
        <v>0</v>
      </c>
      <c r="BR70" s="84">
        <f t="shared" si="115"/>
        <v>0</v>
      </c>
      <c r="BS70" s="84">
        <f t="shared" si="115"/>
        <v>0</v>
      </c>
      <c r="BT70" s="84">
        <f t="shared" si="115"/>
        <v>0</v>
      </c>
      <c r="BU70" s="84">
        <f t="shared" si="115"/>
        <v>0</v>
      </c>
      <c r="BV70" s="84">
        <f t="shared" si="115"/>
        <v>0</v>
      </c>
      <c r="BW70" s="84">
        <f t="shared" si="115"/>
        <v>0</v>
      </c>
      <c r="BX70" s="599"/>
      <c r="BY70" s="100">
        <f t="shared" si="17"/>
        <v>0</v>
      </c>
    </row>
    <row r="71" spans="1:81">
      <c r="A71" s="418">
        <f t="shared" si="67"/>
        <v>21</v>
      </c>
      <c r="B71" s="96" t="str">
        <f t="shared" si="54"/>
        <v>NV21</v>
      </c>
      <c r="C71" s="96" t="str">
        <f t="shared" si="54"/>
        <v xml:space="preserve">Trần Văn Thứ </v>
      </c>
      <c r="D71" s="96" t="str">
        <f t="shared" si="54"/>
        <v>Lái xe cơ giới</v>
      </c>
      <c r="E71" s="84">
        <f t="shared" ref="E71:T71" si="116">E24*E$50</f>
        <v>0</v>
      </c>
      <c r="F71" s="84">
        <f t="shared" si="116"/>
        <v>0</v>
      </c>
      <c r="G71" s="84">
        <f t="shared" si="116"/>
        <v>0</v>
      </c>
      <c r="H71" s="84">
        <f t="shared" si="116"/>
        <v>0</v>
      </c>
      <c r="I71" s="84">
        <f t="shared" si="116"/>
        <v>0</v>
      </c>
      <c r="J71" s="84">
        <f t="shared" si="116"/>
        <v>0</v>
      </c>
      <c r="K71" s="84">
        <f t="shared" si="116"/>
        <v>0</v>
      </c>
      <c r="L71" s="84">
        <f t="shared" si="116"/>
        <v>0</v>
      </c>
      <c r="M71" s="84">
        <f t="shared" si="116"/>
        <v>0</v>
      </c>
      <c r="N71" s="84">
        <f t="shared" si="116"/>
        <v>0</v>
      </c>
      <c r="O71" s="84">
        <f t="shared" si="116"/>
        <v>0</v>
      </c>
      <c r="P71" s="84">
        <f t="shared" si="116"/>
        <v>0</v>
      </c>
      <c r="Q71" s="84">
        <f t="shared" si="116"/>
        <v>0</v>
      </c>
      <c r="R71" s="84">
        <f t="shared" si="116"/>
        <v>0</v>
      </c>
      <c r="S71" s="84">
        <f t="shared" si="116"/>
        <v>0</v>
      </c>
      <c r="T71" s="84">
        <f t="shared" si="116"/>
        <v>0</v>
      </c>
      <c r="U71" s="593"/>
      <c r="V71" s="84">
        <f t="shared" ref="V71:AJ71" si="117">V24*V$50</f>
        <v>0</v>
      </c>
      <c r="W71" s="84">
        <f t="shared" si="117"/>
        <v>0</v>
      </c>
      <c r="X71" s="84">
        <f t="shared" si="117"/>
        <v>0</v>
      </c>
      <c r="Y71" s="84">
        <f t="shared" si="117"/>
        <v>0</v>
      </c>
      <c r="Z71" s="84">
        <f t="shared" si="117"/>
        <v>0</v>
      </c>
      <c r="AA71" s="84">
        <f t="shared" si="117"/>
        <v>0</v>
      </c>
      <c r="AB71" s="84">
        <f t="shared" si="117"/>
        <v>0</v>
      </c>
      <c r="AC71" s="84">
        <f t="shared" si="117"/>
        <v>0</v>
      </c>
      <c r="AD71" s="84">
        <f t="shared" si="117"/>
        <v>0</v>
      </c>
      <c r="AE71" s="84">
        <f t="shared" si="117"/>
        <v>0</v>
      </c>
      <c r="AF71" s="84">
        <f t="shared" si="117"/>
        <v>0</v>
      </c>
      <c r="AG71" s="84">
        <f t="shared" si="117"/>
        <v>0</v>
      </c>
      <c r="AH71" s="84">
        <f t="shared" si="117"/>
        <v>0</v>
      </c>
      <c r="AI71" s="84">
        <f t="shared" si="117"/>
        <v>0</v>
      </c>
      <c r="AJ71" s="84">
        <f t="shared" si="117"/>
        <v>0</v>
      </c>
      <c r="AK71" s="593"/>
      <c r="AL71" s="84">
        <f t="shared" ref="AL71:AO71" si="118">AL24*AL$50</f>
        <v>0</v>
      </c>
      <c r="AM71" s="84">
        <f t="shared" si="118"/>
        <v>0</v>
      </c>
      <c r="AN71" s="84">
        <f t="shared" si="118"/>
        <v>0</v>
      </c>
      <c r="AO71" s="84">
        <f t="shared" si="118"/>
        <v>0</v>
      </c>
      <c r="AP71" s="597"/>
      <c r="AQ71" s="332">
        <f t="shared" ref="AQ71:BC71" si="119">AQ24*AQ$50</f>
        <v>0</v>
      </c>
      <c r="AR71" s="332">
        <f t="shared" si="119"/>
        <v>0</v>
      </c>
      <c r="AS71" s="332">
        <f t="shared" si="119"/>
        <v>0</v>
      </c>
      <c r="AT71" s="332">
        <f t="shared" si="119"/>
        <v>0</v>
      </c>
      <c r="AU71" s="332">
        <f t="shared" si="119"/>
        <v>0</v>
      </c>
      <c r="AV71" s="332">
        <f t="shared" si="119"/>
        <v>0</v>
      </c>
      <c r="AW71" s="306">
        <f t="shared" si="119"/>
        <v>0</v>
      </c>
      <c r="AX71" s="306">
        <f t="shared" si="119"/>
        <v>0</v>
      </c>
      <c r="AY71" s="306">
        <f t="shared" si="119"/>
        <v>0</v>
      </c>
      <c r="AZ71" s="306">
        <f t="shared" si="119"/>
        <v>0</v>
      </c>
      <c r="BA71" s="306">
        <f t="shared" si="119"/>
        <v>0</v>
      </c>
      <c r="BB71" s="306">
        <f t="shared" si="119"/>
        <v>0</v>
      </c>
      <c r="BC71" s="306">
        <f t="shared" si="119"/>
        <v>0</v>
      </c>
      <c r="BD71" s="593"/>
      <c r="BE71" s="84">
        <f t="shared" ref="BE71:BH71" si="120">BE24*BE$50</f>
        <v>0</v>
      </c>
      <c r="BF71" s="84">
        <f t="shared" si="120"/>
        <v>0</v>
      </c>
      <c r="BG71" s="84">
        <f t="shared" si="120"/>
        <v>0</v>
      </c>
      <c r="BH71" s="84">
        <f t="shared" si="120"/>
        <v>0</v>
      </c>
      <c r="BI71" s="593"/>
      <c r="BJ71" s="84">
        <f t="shared" ref="BJ71:BW71" si="121">BJ24*BJ$50/60</f>
        <v>0</v>
      </c>
      <c r="BK71" s="84">
        <f t="shared" si="121"/>
        <v>0</v>
      </c>
      <c r="BL71" s="84">
        <f t="shared" si="121"/>
        <v>0</v>
      </c>
      <c r="BM71" s="84">
        <f t="shared" si="121"/>
        <v>0</v>
      </c>
      <c r="BN71" s="84">
        <f t="shared" si="121"/>
        <v>0</v>
      </c>
      <c r="BO71" s="84">
        <f t="shared" si="121"/>
        <v>0</v>
      </c>
      <c r="BP71" s="84">
        <f t="shared" si="121"/>
        <v>0</v>
      </c>
      <c r="BQ71" s="84">
        <f t="shared" si="121"/>
        <v>0</v>
      </c>
      <c r="BR71" s="84">
        <f t="shared" si="121"/>
        <v>0</v>
      </c>
      <c r="BS71" s="84">
        <f t="shared" si="121"/>
        <v>0</v>
      </c>
      <c r="BT71" s="84">
        <f t="shared" si="121"/>
        <v>0</v>
      </c>
      <c r="BU71" s="84">
        <f t="shared" si="121"/>
        <v>0</v>
      </c>
      <c r="BV71" s="84">
        <f t="shared" si="121"/>
        <v>0</v>
      </c>
      <c r="BW71" s="84">
        <f t="shared" si="121"/>
        <v>0</v>
      </c>
      <c r="BX71" s="599"/>
      <c r="BY71" s="100">
        <f t="shared" si="17"/>
        <v>0</v>
      </c>
    </row>
    <row r="72" spans="1:81">
      <c r="A72" s="418">
        <f t="shared" si="67"/>
        <v>22</v>
      </c>
      <c r="B72" s="96" t="str">
        <f t="shared" si="54"/>
        <v>NV22</v>
      </c>
      <c r="C72" s="96" t="str">
        <f t="shared" si="54"/>
        <v>Lê Tấn Phát</v>
      </c>
      <c r="D72" s="96" t="str">
        <f t="shared" si="54"/>
        <v>Lái xe cơ giới</v>
      </c>
      <c r="E72" s="84">
        <f t="shared" ref="E72:T72" si="122">E25*E$50</f>
        <v>0</v>
      </c>
      <c r="F72" s="84">
        <f t="shared" si="122"/>
        <v>0</v>
      </c>
      <c r="G72" s="84">
        <f t="shared" si="122"/>
        <v>0</v>
      </c>
      <c r="H72" s="84">
        <f t="shared" si="122"/>
        <v>0</v>
      </c>
      <c r="I72" s="84">
        <f t="shared" si="122"/>
        <v>0</v>
      </c>
      <c r="J72" s="84">
        <f t="shared" si="122"/>
        <v>0</v>
      </c>
      <c r="K72" s="84">
        <f t="shared" si="122"/>
        <v>0</v>
      </c>
      <c r="L72" s="84">
        <f t="shared" si="122"/>
        <v>0</v>
      </c>
      <c r="M72" s="84">
        <f t="shared" si="122"/>
        <v>0</v>
      </c>
      <c r="N72" s="84">
        <f t="shared" si="122"/>
        <v>0</v>
      </c>
      <c r="O72" s="84">
        <f t="shared" si="122"/>
        <v>0</v>
      </c>
      <c r="P72" s="84">
        <f t="shared" si="122"/>
        <v>0</v>
      </c>
      <c r="Q72" s="84">
        <f t="shared" si="122"/>
        <v>0</v>
      </c>
      <c r="R72" s="84">
        <f t="shared" si="122"/>
        <v>0</v>
      </c>
      <c r="S72" s="84">
        <f t="shared" si="122"/>
        <v>0</v>
      </c>
      <c r="T72" s="84">
        <f t="shared" si="122"/>
        <v>0</v>
      </c>
      <c r="U72" s="593"/>
      <c r="V72" s="84">
        <f t="shared" ref="V72:AJ72" si="123">V25*V$50</f>
        <v>0</v>
      </c>
      <c r="W72" s="84">
        <f t="shared" si="123"/>
        <v>0</v>
      </c>
      <c r="X72" s="84">
        <f t="shared" si="123"/>
        <v>0</v>
      </c>
      <c r="Y72" s="84">
        <f t="shared" si="123"/>
        <v>0</v>
      </c>
      <c r="Z72" s="84">
        <f t="shared" si="123"/>
        <v>0</v>
      </c>
      <c r="AA72" s="84">
        <f t="shared" si="123"/>
        <v>0</v>
      </c>
      <c r="AB72" s="84">
        <f t="shared" si="123"/>
        <v>0</v>
      </c>
      <c r="AC72" s="84">
        <f t="shared" si="123"/>
        <v>0</v>
      </c>
      <c r="AD72" s="84">
        <f t="shared" si="123"/>
        <v>0</v>
      </c>
      <c r="AE72" s="84">
        <f t="shared" si="123"/>
        <v>0</v>
      </c>
      <c r="AF72" s="84">
        <f t="shared" si="123"/>
        <v>0</v>
      </c>
      <c r="AG72" s="84">
        <f t="shared" si="123"/>
        <v>0</v>
      </c>
      <c r="AH72" s="84">
        <f t="shared" si="123"/>
        <v>0</v>
      </c>
      <c r="AI72" s="84">
        <f t="shared" si="123"/>
        <v>0</v>
      </c>
      <c r="AJ72" s="84">
        <f t="shared" si="123"/>
        <v>0</v>
      </c>
      <c r="AK72" s="593"/>
      <c r="AL72" s="84">
        <f t="shared" ref="AL72:AO72" si="124">AL25*AL$50</f>
        <v>0</v>
      </c>
      <c r="AM72" s="84">
        <f t="shared" si="124"/>
        <v>0</v>
      </c>
      <c r="AN72" s="84">
        <f t="shared" si="124"/>
        <v>0</v>
      </c>
      <c r="AO72" s="84">
        <f t="shared" si="124"/>
        <v>0</v>
      </c>
      <c r="AP72" s="597"/>
      <c r="AQ72" s="332">
        <f t="shared" ref="AQ72:BC72" si="125">AQ25*AQ$50</f>
        <v>0</v>
      </c>
      <c r="AR72" s="332">
        <f t="shared" si="125"/>
        <v>0</v>
      </c>
      <c r="AS72" s="332">
        <f t="shared" si="125"/>
        <v>0</v>
      </c>
      <c r="AT72" s="332">
        <f t="shared" si="125"/>
        <v>0</v>
      </c>
      <c r="AU72" s="332">
        <f t="shared" si="125"/>
        <v>0</v>
      </c>
      <c r="AV72" s="332">
        <f t="shared" si="125"/>
        <v>0</v>
      </c>
      <c r="AW72" s="306">
        <f t="shared" si="125"/>
        <v>0</v>
      </c>
      <c r="AX72" s="306">
        <f t="shared" si="125"/>
        <v>0</v>
      </c>
      <c r="AY72" s="306">
        <f t="shared" si="125"/>
        <v>0</v>
      </c>
      <c r="AZ72" s="306">
        <f t="shared" si="125"/>
        <v>0</v>
      </c>
      <c r="BA72" s="306">
        <f t="shared" si="125"/>
        <v>0</v>
      </c>
      <c r="BB72" s="306">
        <f t="shared" si="125"/>
        <v>0</v>
      </c>
      <c r="BC72" s="306">
        <f t="shared" si="125"/>
        <v>0</v>
      </c>
      <c r="BD72" s="593"/>
      <c r="BE72" s="84">
        <f t="shared" ref="BE72:BH72" si="126">BE25*BE$50</f>
        <v>0</v>
      </c>
      <c r="BF72" s="84">
        <f t="shared" si="126"/>
        <v>0</v>
      </c>
      <c r="BG72" s="84">
        <f t="shared" si="126"/>
        <v>0</v>
      </c>
      <c r="BH72" s="84">
        <f t="shared" si="126"/>
        <v>0</v>
      </c>
      <c r="BI72" s="593"/>
      <c r="BJ72" s="84">
        <f t="shared" ref="BJ72:BW72" si="127">BJ25*BJ$50/60</f>
        <v>0</v>
      </c>
      <c r="BK72" s="84">
        <f t="shared" si="127"/>
        <v>0</v>
      </c>
      <c r="BL72" s="84">
        <f t="shared" si="127"/>
        <v>0</v>
      </c>
      <c r="BM72" s="84">
        <f t="shared" si="127"/>
        <v>0</v>
      </c>
      <c r="BN72" s="84">
        <f t="shared" si="127"/>
        <v>0</v>
      </c>
      <c r="BO72" s="84">
        <f t="shared" si="127"/>
        <v>0</v>
      </c>
      <c r="BP72" s="84">
        <f t="shared" si="127"/>
        <v>0</v>
      </c>
      <c r="BQ72" s="84">
        <f t="shared" si="127"/>
        <v>0</v>
      </c>
      <c r="BR72" s="84">
        <f t="shared" si="127"/>
        <v>0</v>
      </c>
      <c r="BS72" s="84">
        <f t="shared" si="127"/>
        <v>0</v>
      </c>
      <c r="BT72" s="84">
        <f t="shared" si="127"/>
        <v>0</v>
      </c>
      <c r="BU72" s="84">
        <f t="shared" si="127"/>
        <v>0</v>
      </c>
      <c r="BV72" s="84">
        <f t="shared" si="127"/>
        <v>0</v>
      </c>
      <c r="BW72" s="84">
        <f t="shared" si="127"/>
        <v>0</v>
      </c>
      <c r="BX72" s="599"/>
      <c r="BY72" s="100">
        <f t="shared" si="17"/>
        <v>0</v>
      </c>
    </row>
    <row r="73" spans="1:81">
      <c r="A73" s="418">
        <f t="shared" si="67"/>
        <v>23</v>
      </c>
      <c r="B73" s="96" t="str">
        <f t="shared" si="54"/>
        <v>NV23</v>
      </c>
      <c r="C73" s="96" t="str">
        <f t="shared" si="54"/>
        <v>Quách Văn Chánh</v>
      </c>
      <c r="D73" s="96" t="str">
        <f t="shared" si="54"/>
        <v xml:space="preserve">Công nhân </v>
      </c>
      <c r="E73" s="84">
        <f t="shared" ref="E73:T73" si="128">E26*E$50</f>
        <v>0</v>
      </c>
      <c r="F73" s="84">
        <f t="shared" si="128"/>
        <v>0</v>
      </c>
      <c r="G73" s="84">
        <f t="shared" si="128"/>
        <v>0</v>
      </c>
      <c r="H73" s="84">
        <f t="shared" si="128"/>
        <v>0</v>
      </c>
      <c r="I73" s="84">
        <f t="shared" si="128"/>
        <v>0</v>
      </c>
      <c r="J73" s="84">
        <f t="shared" si="128"/>
        <v>0</v>
      </c>
      <c r="K73" s="84">
        <f t="shared" si="128"/>
        <v>0</v>
      </c>
      <c r="L73" s="84">
        <f t="shared" si="128"/>
        <v>0</v>
      </c>
      <c r="M73" s="84">
        <f t="shared" si="128"/>
        <v>0</v>
      </c>
      <c r="N73" s="84">
        <f t="shared" si="128"/>
        <v>0</v>
      </c>
      <c r="O73" s="84">
        <f t="shared" si="128"/>
        <v>0</v>
      </c>
      <c r="P73" s="84">
        <f t="shared" si="128"/>
        <v>0</v>
      </c>
      <c r="Q73" s="84">
        <f t="shared" si="128"/>
        <v>0</v>
      </c>
      <c r="R73" s="84">
        <f t="shared" si="128"/>
        <v>0</v>
      </c>
      <c r="S73" s="84">
        <f t="shared" si="128"/>
        <v>0</v>
      </c>
      <c r="T73" s="84">
        <f t="shared" si="128"/>
        <v>0</v>
      </c>
      <c r="U73" s="593"/>
      <c r="V73" s="84">
        <f t="shared" ref="V73:AJ73" si="129">V26*V$50</f>
        <v>0</v>
      </c>
      <c r="W73" s="84">
        <f t="shared" si="129"/>
        <v>0</v>
      </c>
      <c r="X73" s="84">
        <f t="shared" si="129"/>
        <v>0</v>
      </c>
      <c r="Y73" s="84">
        <f t="shared" si="129"/>
        <v>0</v>
      </c>
      <c r="Z73" s="84">
        <f t="shared" si="129"/>
        <v>0</v>
      </c>
      <c r="AA73" s="84">
        <f t="shared" si="129"/>
        <v>0</v>
      </c>
      <c r="AB73" s="84">
        <f t="shared" si="129"/>
        <v>0</v>
      </c>
      <c r="AC73" s="84">
        <f t="shared" si="129"/>
        <v>0</v>
      </c>
      <c r="AD73" s="84">
        <f t="shared" si="129"/>
        <v>0</v>
      </c>
      <c r="AE73" s="84">
        <f t="shared" si="129"/>
        <v>0</v>
      </c>
      <c r="AF73" s="84">
        <f t="shared" si="129"/>
        <v>0</v>
      </c>
      <c r="AG73" s="84">
        <f t="shared" si="129"/>
        <v>0</v>
      </c>
      <c r="AH73" s="84">
        <f t="shared" si="129"/>
        <v>0</v>
      </c>
      <c r="AI73" s="84">
        <f t="shared" si="129"/>
        <v>0</v>
      </c>
      <c r="AJ73" s="84">
        <f t="shared" si="129"/>
        <v>0</v>
      </c>
      <c r="AK73" s="593"/>
      <c r="AL73" s="84">
        <f t="shared" ref="AL73:AO73" si="130">AL26*AL$50</f>
        <v>0</v>
      </c>
      <c r="AM73" s="84">
        <f t="shared" si="130"/>
        <v>0</v>
      </c>
      <c r="AN73" s="84">
        <f t="shared" si="130"/>
        <v>0</v>
      </c>
      <c r="AO73" s="84">
        <f t="shared" si="130"/>
        <v>0</v>
      </c>
      <c r="AP73" s="597"/>
      <c r="AQ73" s="332">
        <f t="shared" ref="AQ73:BC73" si="131">AQ26*AQ$50</f>
        <v>0</v>
      </c>
      <c r="AR73" s="332">
        <f t="shared" si="131"/>
        <v>0</v>
      </c>
      <c r="AS73" s="332">
        <f t="shared" si="131"/>
        <v>0</v>
      </c>
      <c r="AT73" s="332">
        <f t="shared" si="131"/>
        <v>0</v>
      </c>
      <c r="AU73" s="332">
        <f t="shared" si="131"/>
        <v>0</v>
      </c>
      <c r="AV73" s="332">
        <f t="shared" si="131"/>
        <v>0</v>
      </c>
      <c r="AW73" s="306">
        <f t="shared" si="131"/>
        <v>0</v>
      </c>
      <c r="AX73" s="306">
        <f t="shared" si="131"/>
        <v>0</v>
      </c>
      <c r="AY73" s="306">
        <f t="shared" si="131"/>
        <v>0</v>
      </c>
      <c r="AZ73" s="306">
        <f t="shared" si="131"/>
        <v>0</v>
      </c>
      <c r="BA73" s="306">
        <f t="shared" si="131"/>
        <v>0</v>
      </c>
      <c r="BB73" s="306">
        <f t="shared" si="131"/>
        <v>0</v>
      </c>
      <c r="BC73" s="306">
        <f t="shared" si="131"/>
        <v>0</v>
      </c>
      <c r="BD73" s="593"/>
      <c r="BE73" s="84">
        <f t="shared" ref="BE73:BH73" si="132">BE26*BE$50</f>
        <v>0</v>
      </c>
      <c r="BF73" s="84">
        <f t="shared" si="132"/>
        <v>0</v>
      </c>
      <c r="BG73" s="84">
        <f t="shared" si="132"/>
        <v>0</v>
      </c>
      <c r="BH73" s="84">
        <f t="shared" si="132"/>
        <v>0</v>
      </c>
      <c r="BI73" s="593"/>
      <c r="BJ73" s="84">
        <f t="shared" ref="BJ73:BW73" si="133">BJ26*BJ$50/60</f>
        <v>0</v>
      </c>
      <c r="BK73" s="84">
        <f t="shared" si="133"/>
        <v>0</v>
      </c>
      <c r="BL73" s="84">
        <f t="shared" si="133"/>
        <v>0</v>
      </c>
      <c r="BM73" s="84">
        <f t="shared" si="133"/>
        <v>0</v>
      </c>
      <c r="BN73" s="84">
        <f t="shared" si="133"/>
        <v>0</v>
      </c>
      <c r="BO73" s="84">
        <f t="shared" si="133"/>
        <v>0</v>
      </c>
      <c r="BP73" s="84">
        <f t="shared" si="133"/>
        <v>0</v>
      </c>
      <c r="BQ73" s="84">
        <f t="shared" si="133"/>
        <v>0</v>
      </c>
      <c r="BR73" s="84">
        <f t="shared" si="133"/>
        <v>0</v>
      </c>
      <c r="BS73" s="84">
        <f t="shared" si="133"/>
        <v>0</v>
      </c>
      <c r="BT73" s="84">
        <f t="shared" si="133"/>
        <v>0</v>
      </c>
      <c r="BU73" s="84">
        <f t="shared" si="133"/>
        <v>0</v>
      </c>
      <c r="BV73" s="84">
        <f t="shared" si="133"/>
        <v>0</v>
      </c>
      <c r="BW73" s="84">
        <f t="shared" si="133"/>
        <v>0</v>
      </c>
      <c r="BX73" s="599"/>
      <c r="BY73" s="100">
        <f t="shared" si="17"/>
        <v>0</v>
      </c>
    </row>
    <row r="74" spans="1:81" ht="22.8">
      <c r="A74" s="418">
        <f t="shared" si="67"/>
        <v>24</v>
      </c>
      <c r="B74" s="96" t="str">
        <f t="shared" si="54"/>
        <v>NV24</v>
      </c>
      <c r="C74" s="96" t="str">
        <f t="shared" si="54"/>
        <v>Trần văn Nguyện</v>
      </c>
      <c r="D74" s="96" t="str">
        <f t="shared" si="54"/>
        <v>Công nhân  (TX )</v>
      </c>
      <c r="E74" s="84">
        <f t="shared" ref="E74:T74" si="134">E27*E$50</f>
        <v>0</v>
      </c>
      <c r="F74" s="84">
        <f t="shared" si="134"/>
        <v>0</v>
      </c>
      <c r="G74" s="84">
        <f t="shared" si="134"/>
        <v>0</v>
      </c>
      <c r="H74" s="84">
        <f t="shared" si="134"/>
        <v>0</v>
      </c>
      <c r="I74" s="84">
        <f t="shared" si="134"/>
        <v>0</v>
      </c>
      <c r="J74" s="84">
        <f t="shared" si="134"/>
        <v>0</v>
      </c>
      <c r="K74" s="84">
        <f t="shared" si="134"/>
        <v>0</v>
      </c>
      <c r="L74" s="84">
        <f t="shared" si="134"/>
        <v>0</v>
      </c>
      <c r="M74" s="84">
        <f t="shared" si="134"/>
        <v>0</v>
      </c>
      <c r="N74" s="84">
        <f t="shared" si="134"/>
        <v>0</v>
      </c>
      <c r="O74" s="84">
        <f t="shared" si="134"/>
        <v>0</v>
      </c>
      <c r="P74" s="84">
        <f t="shared" si="134"/>
        <v>0</v>
      </c>
      <c r="Q74" s="84">
        <f t="shared" si="134"/>
        <v>0</v>
      </c>
      <c r="R74" s="84">
        <f t="shared" si="134"/>
        <v>0</v>
      </c>
      <c r="S74" s="84">
        <f t="shared" si="134"/>
        <v>0</v>
      </c>
      <c r="T74" s="84">
        <f t="shared" si="134"/>
        <v>0</v>
      </c>
      <c r="U74" s="593"/>
      <c r="V74" s="84">
        <f t="shared" ref="V74:AJ74" si="135">V27*V$50</f>
        <v>0</v>
      </c>
      <c r="W74" s="84">
        <f t="shared" si="135"/>
        <v>0</v>
      </c>
      <c r="X74" s="84">
        <f t="shared" si="135"/>
        <v>0</v>
      </c>
      <c r="Y74" s="84">
        <f t="shared" si="135"/>
        <v>0</v>
      </c>
      <c r="Z74" s="84">
        <f t="shared" si="135"/>
        <v>0</v>
      </c>
      <c r="AA74" s="84">
        <f t="shared" si="135"/>
        <v>0</v>
      </c>
      <c r="AB74" s="84">
        <f t="shared" si="135"/>
        <v>0</v>
      </c>
      <c r="AC74" s="84">
        <f t="shared" si="135"/>
        <v>0</v>
      </c>
      <c r="AD74" s="84">
        <f t="shared" si="135"/>
        <v>0</v>
      </c>
      <c r="AE74" s="84">
        <f t="shared" si="135"/>
        <v>0</v>
      </c>
      <c r="AF74" s="84">
        <f t="shared" si="135"/>
        <v>0</v>
      </c>
      <c r="AG74" s="84">
        <f t="shared" si="135"/>
        <v>0</v>
      </c>
      <c r="AH74" s="84">
        <f t="shared" si="135"/>
        <v>0</v>
      </c>
      <c r="AI74" s="84">
        <f t="shared" si="135"/>
        <v>0</v>
      </c>
      <c r="AJ74" s="84">
        <f t="shared" si="135"/>
        <v>0</v>
      </c>
      <c r="AK74" s="593"/>
      <c r="AL74" s="84">
        <f t="shared" ref="AL74:AO74" si="136">AL27*AL$50</f>
        <v>0</v>
      </c>
      <c r="AM74" s="84">
        <f t="shared" si="136"/>
        <v>0</v>
      </c>
      <c r="AN74" s="84">
        <f t="shared" si="136"/>
        <v>0</v>
      </c>
      <c r="AO74" s="84">
        <f t="shared" si="136"/>
        <v>0</v>
      </c>
      <c r="AP74" s="597"/>
      <c r="AQ74" s="332">
        <f t="shared" ref="AQ74:BC74" si="137">AQ27*AQ$50</f>
        <v>0</v>
      </c>
      <c r="AR74" s="332">
        <f t="shared" si="137"/>
        <v>0</v>
      </c>
      <c r="AS74" s="332">
        <f t="shared" si="137"/>
        <v>0</v>
      </c>
      <c r="AT74" s="332">
        <f t="shared" si="137"/>
        <v>0</v>
      </c>
      <c r="AU74" s="332">
        <f t="shared" si="137"/>
        <v>0</v>
      </c>
      <c r="AV74" s="332">
        <f t="shared" si="137"/>
        <v>0</v>
      </c>
      <c r="AW74" s="306">
        <f t="shared" si="137"/>
        <v>0</v>
      </c>
      <c r="AX74" s="306">
        <f t="shared" si="137"/>
        <v>0</v>
      </c>
      <c r="AY74" s="306">
        <f t="shared" si="137"/>
        <v>0</v>
      </c>
      <c r="AZ74" s="306">
        <f t="shared" si="137"/>
        <v>0</v>
      </c>
      <c r="BA74" s="306">
        <f t="shared" si="137"/>
        <v>0</v>
      </c>
      <c r="BB74" s="306">
        <f t="shared" si="137"/>
        <v>0</v>
      </c>
      <c r="BC74" s="306">
        <f t="shared" si="137"/>
        <v>0</v>
      </c>
      <c r="BD74" s="593"/>
      <c r="BE74" s="84">
        <f t="shared" ref="BE74:BH74" si="138">BE27*BE$50</f>
        <v>0</v>
      </c>
      <c r="BF74" s="84">
        <f t="shared" si="138"/>
        <v>0</v>
      </c>
      <c r="BG74" s="84">
        <f t="shared" si="138"/>
        <v>0</v>
      </c>
      <c r="BH74" s="84">
        <f t="shared" si="138"/>
        <v>0</v>
      </c>
      <c r="BI74" s="593"/>
      <c r="BJ74" s="84">
        <f t="shared" ref="BJ74:BW74" si="139">BJ27*BJ$50/60</f>
        <v>0</v>
      </c>
      <c r="BK74" s="84">
        <f t="shared" si="139"/>
        <v>0</v>
      </c>
      <c r="BL74" s="84">
        <f t="shared" si="139"/>
        <v>0</v>
      </c>
      <c r="BM74" s="84">
        <f t="shared" si="139"/>
        <v>0</v>
      </c>
      <c r="BN74" s="84">
        <f t="shared" si="139"/>
        <v>0</v>
      </c>
      <c r="BO74" s="84">
        <f t="shared" si="139"/>
        <v>0</v>
      </c>
      <c r="BP74" s="84">
        <f t="shared" si="139"/>
        <v>0</v>
      </c>
      <c r="BQ74" s="84">
        <f t="shared" si="139"/>
        <v>0</v>
      </c>
      <c r="BR74" s="84">
        <f t="shared" si="139"/>
        <v>0</v>
      </c>
      <c r="BS74" s="84">
        <f t="shared" si="139"/>
        <v>0</v>
      </c>
      <c r="BT74" s="84">
        <f t="shared" si="139"/>
        <v>0</v>
      </c>
      <c r="BU74" s="84">
        <f t="shared" si="139"/>
        <v>0</v>
      </c>
      <c r="BV74" s="84">
        <f t="shared" si="139"/>
        <v>0</v>
      </c>
      <c r="BW74" s="84">
        <f t="shared" si="139"/>
        <v>0</v>
      </c>
      <c r="BX74" s="599"/>
      <c r="BY74" s="100">
        <f t="shared" si="17"/>
        <v>0</v>
      </c>
    </row>
    <row r="75" spans="1:81">
      <c r="A75" s="418">
        <f t="shared" si="67"/>
        <v>25</v>
      </c>
      <c r="B75" s="96" t="str">
        <f t="shared" si="54"/>
        <v>NV25</v>
      </c>
      <c r="C75" s="96" t="str">
        <f t="shared" si="54"/>
        <v>Châu Văn Tâm</v>
      </c>
      <c r="D75" s="96" t="str">
        <f t="shared" si="54"/>
        <v>Lái xe cơ giới</v>
      </c>
      <c r="E75" s="84">
        <f t="shared" ref="E75:T75" si="140">E28*E$50</f>
        <v>0</v>
      </c>
      <c r="F75" s="84">
        <f t="shared" si="140"/>
        <v>0</v>
      </c>
      <c r="G75" s="84">
        <f t="shared" si="140"/>
        <v>0</v>
      </c>
      <c r="H75" s="84">
        <f t="shared" si="140"/>
        <v>0</v>
      </c>
      <c r="I75" s="84">
        <f t="shared" si="140"/>
        <v>0</v>
      </c>
      <c r="J75" s="84">
        <f t="shared" si="140"/>
        <v>0</v>
      </c>
      <c r="K75" s="84">
        <f t="shared" si="140"/>
        <v>0</v>
      </c>
      <c r="L75" s="84">
        <f t="shared" si="140"/>
        <v>0</v>
      </c>
      <c r="M75" s="84">
        <f t="shared" si="140"/>
        <v>0</v>
      </c>
      <c r="N75" s="84">
        <f t="shared" si="140"/>
        <v>0</v>
      </c>
      <c r="O75" s="84">
        <f t="shared" si="140"/>
        <v>0</v>
      </c>
      <c r="P75" s="84">
        <f t="shared" si="140"/>
        <v>0</v>
      </c>
      <c r="Q75" s="84">
        <f t="shared" si="140"/>
        <v>0</v>
      </c>
      <c r="R75" s="84">
        <f t="shared" si="140"/>
        <v>0</v>
      </c>
      <c r="S75" s="84">
        <f t="shared" si="140"/>
        <v>0</v>
      </c>
      <c r="T75" s="84">
        <f t="shared" si="140"/>
        <v>0</v>
      </c>
      <c r="U75" s="593"/>
      <c r="V75" s="84">
        <f t="shared" ref="V75:AJ75" si="141">V28*V$50</f>
        <v>0</v>
      </c>
      <c r="W75" s="84">
        <f t="shared" si="141"/>
        <v>0</v>
      </c>
      <c r="X75" s="84">
        <f t="shared" si="141"/>
        <v>0</v>
      </c>
      <c r="Y75" s="84">
        <f t="shared" si="141"/>
        <v>0</v>
      </c>
      <c r="Z75" s="84">
        <f t="shared" si="141"/>
        <v>0</v>
      </c>
      <c r="AA75" s="84">
        <f t="shared" si="141"/>
        <v>0</v>
      </c>
      <c r="AB75" s="84">
        <f t="shared" si="141"/>
        <v>0</v>
      </c>
      <c r="AC75" s="84">
        <f t="shared" si="141"/>
        <v>0</v>
      </c>
      <c r="AD75" s="84">
        <f t="shared" si="141"/>
        <v>0</v>
      </c>
      <c r="AE75" s="84">
        <f t="shared" si="141"/>
        <v>0</v>
      </c>
      <c r="AF75" s="84">
        <f t="shared" si="141"/>
        <v>0</v>
      </c>
      <c r="AG75" s="84">
        <f t="shared" si="141"/>
        <v>0</v>
      </c>
      <c r="AH75" s="84">
        <f t="shared" si="141"/>
        <v>0</v>
      </c>
      <c r="AI75" s="84">
        <f t="shared" si="141"/>
        <v>0</v>
      </c>
      <c r="AJ75" s="84">
        <f t="shared" si="141"/>
        <v>0</v>
      </c>
      <c r="AK75" s="593"/>
      <c r="AL75" s="84">
        <f t="shared" ref="AL75:AO75" si="142">AL28*AL$50</f>
        <v>0</v>
      </c>
      <c r="AM75" s="84">
        <f t="shared" si="142"/>
        <v>0</v>
      </c>
      <c r="AN75" s="84">
        <f t="shared" si="142"/>
        <v>0</v>
      </c>
      <c r="AO75" s="84">
        <f t="shared" si="142"/>
        <v>0</v>
      </c>
      <c r="AP75" s="597"/>
      <c r="AQ75" s="332">
        <f t="shared" ref="AQ75:BC75" si="143">AQ28*AQ$50</f>
        <v>0</v>
      </c>
      <c r="AR75" s="332">
        <f t="shared" si="143"/>
        <v>0</v>
      </c>
      <c r="AS75" s="332">
        <f t="shared" si="143"/>
        <v>0</v>
      </c>
      <c r="AT75" s="332">
        <f t="shared" si="143"/>
        <v>0</v>
      </c>
      <c r="AU75" s="332">
        <f t="shared" si="143"/>
        <v>0</v>
      </c>
      <c r="AV75" s="332">
        <f t="shared" si="143"/>
        <v>0</v>
      </c>
      <c r="AW75" s="306">
        <f t="shared" si="143"/>
        <v>0</v>
      </c>
      <c r="AX75" s="306">
        <f t="shared" si="143"/>
        <v>0</v>
      </c>
      <c r="AY75" s="306">
        <f t="shared" si="143"/>
        <v>0</v>
      </c>
      <c r="AZ75" s="306">
        <f t="shared" si="143"/>
        <v>0</v>
      </c>
      <c r="BA75" s="306">
        <f t="shared" si="143"/>
        <v>0</v>
      </c>
      <c r="BB75" s="306">
        <f t="shared" si="143"/>
        <v>0</v>
      </c>
      <c r="BC75" s="306">
        <f t="shared" si="143"/>
        <v>0</v>
      </c>
      <c r="BD75" s="593"/>
      <c r="BE75" s="84">
        <f t="shared" ref="BE75:BH75" si="144">BE28*BE$50</f>
        <v>0</v>
      </c>
      <c r="BF75" s="84">
        <f t="shared" si="144"/>
        <v>0</v>
      </c>
      <c r="BG75" s="84">
        <f t="shared" si="144"/>
        <v>0</v>
      </c>
      <c r="BH75" s="84">
        <f t="shared" si="144"/>
        <v>0</v>
      </c>
      <c r="BI75" s="593"/>
      <c r="BJ75" s="84">
        <f t="shared" ref="BJ75:BW75" si="145">BJ28*BJ$50/60</f>
        <v>0</v>
      </c>
      <c r="BK75" s="84">
        <f t="shared" si="145"/>
        <v>0</v>
      </c>
      <c r="BL75" s="84">
        <f t="shared" si="145"/>
        <v>0</v>
      </c>
      <c r="BM75" s="84">
        <f t="shared" si="145"/>
        <v>0</v>
      </c>
      <c r="BN75" s="84">
        <f t="shared" si="145"/>
        <v>0</v>
      </c>
      <c r="BO75" s="84">
        <f t="shared" si="145"/>
        <v>0</v>
      </c>
      <c r="BP75" s="84">
        <f t="shared" si="145"/>
        <v>0</v>
      </c>
      <c r="BQ75" s="84">
        <f t="shared" si="145"/>
        <v>0</v>
      </c>
      <c r="BR75" s="84">
        <f t="shared" si="145"/>
        <v>0</v>
      </c>
      <c r="BS75" s="84">
        <f t="shared" si="145"/>
        <v>0</v>
      </c>
      <c r="BT75" s="84">
        <f t="shared" si="145"/>
        <v>0</v>
      </c>
      <c r="BU75" s="84">
        <f t="shared" si="145"/>
        <v>0</v>
      </c>
      <c r="BV75" s="84">
        <f t="shared" si="145"/>
        <v>0</v>
      </c>
      <c r="BW75" s="84">
        <f t="shared" si="145"/>
        <v>0</v>
      </c>
      <c r="BX75" s="599"/>
      <c r="BY75" s="100">
        <f t="shared" si="17"/>
        <v>0</v>
      </c>
    </row>
    <row r="76" spans="1:81">
      <c r="A76" s="418">
        <f t="shared" si="67"/>
        <v>26</v>
      </c>
      <c r="B76" s="96" t="str">
        <f t="shared" si="54"/>
        <v>NV26</v>
      </c>
      <c r="C76" s="96" t="str">
        <f t="shared" si="54"/>
        <v>Trần Ngọc Sơn</v>
      </c>
      <c r="D76" s="96" t="str">
        <f t="shared" si="54"/>
        <v>Lái xe cơ giới</v>
      </c>
      <c r="E76" s="84">
        <f t="shared" ref="E76:T76" si="146">E29*E$50</f>
        <v>0</v>
      </c>
      <c r="F76" s="84">
        <f t="shared" si="146"/>
        <v>0</v>
      </c>
      <c r="G76" s="84">
        <f t="shared" si="146"/>
        <v>0</v>
      </c>
      <c r="H76" s="84">
        <f t="shared" si="146"/>
        <v>0</v>
      </c>
      <c r="I76" s="84">
        <f t="shared" si="146"/>
        <v>0</v>
      </c>
      <c r="J76" s="84">
        <f t="shared" si="146"/>
        <v>0</v>
      </c>
      <c r="K76" s="84">
        <f t="shared" si="146"/>
        <v>0</v>
      </c>
      <c r="L76" s="84">
        <f t="shared" si="146"/>
        <v>0</v>
      </c>
      <c r="M76" s="84">
        <f t="shared" si="146"/>
        <v>0</v>
      </c>
      <c r="N76" s="84">
        <f t="shared" si="146"/>
        <v>0</v>
      </c>
      <c r="O76" s="84">
        <f t="shared" si="146"/>
        <v>0</v>
      </c>
      <c r="P76" s="84">
        <f t="shared" si="146"/>
        <v>0</v>
      </c>
      <c r="Q76" s="84">
        <f t="shared" si="146"/>
        <v>0</v>
      </c>
      <c r="R76" s="84">
        <f t="shared" si="146"/>
        <v>0</v>
      </c>
      <c r="S76" s="84">
        <f t="shared" si="146"/>
        <v>0</v>
      </c>
      <c r="T76" s="84">
        <f t="shared" si="146"/>
        <v>0</v>
      </c>
      <c r="U76" s="593"/>
      <c r="V76" s="84">
        <f t="shared" ref="V76:AJ76" si="147">V29*V$50</f>
        <v>0</v>
      </c>
      <c r="W76" s="84">
        <f t="shared" si="147"/>
        <v>0</v>
      </c>
      <c r="X76" s="84">
        <f t="shared" si="147"/>
        <v>0</v>
      </c>
      <c r="Y76" s="84">
        <f t="shared" si="147"/>
        <v>0</v>
      </c>
      <c r="Z76" s="84">
        <f t="shared" si="147"/>
        <v>0</v>
      </c>
      <c r="AA76" s="84">
        <f t="shared" si="147"/>
        <v>0</v>
      </c>
      <c r="AB76" s="84">
        <f t="shared" si="147"/>
        <v>0</v>
      </c>
      <c r="AC76" s="84">
        <f t="shared" si="147"/>
        <v>0</v>
      </c>
      <c r="AD76" s="84">
        <f t="shared" si="147"/>
        <v>0</v>
      </c>
      <c r="AE76" s="84">
        <f t="shared" si="147"/>
        <v>0</v>
      </c>
      <c r="AF76" s="84">
        <f t="shared" si="147"/>
        <v>0</v>
      </c>
      <c r="AG76" s="84">
        <f t="shared" si="147"/>
        <v>0</v>
      </c>
      <c r="AH76" s="84">
        <f t="shared" si="147"/>
        <v>0</v>
      </c>
      <c r="AI76" s="84">
        <f t="shared" si="147"/>
        <v>0</v>
      </c>
      <c r="AJ76" s="84">
        <f t="shared" si="147"/>
        <v>0</v>
      </c>
      <c r="AK76" s="593"/>
      <c r="AL76" s="84">
        <f t="shared" ref="AL76:AO76" si="148">AL29*AL$50</f>
        <v>0</v>
      </c>
      <c r="AM76" s="84">
        <f t="shared" si="148"/>
        <v>0</v>
      </c>
      <c r="AN76" s="84">
        <f t="shared" si="148"/>
        <v>0</v>
      </c>
      <c r="AO76" s="84">
        <f t="shared" si="148"/>
        <v>0</v>
      </c>
      <c r="AP76" s="597"/>
      <c r="AQ76" s="332">
        <f t="shared" ref="AQ76:BC76" si="149">AQ29*AQ$50</f>
        <v>0</v>
      </c>
      <c r="AR76" s="332">
        <f t="shared" si="149"/>
        <v>0</v>
      </c>
      <c r="AS76" s="332">
        <f t="shared" si="149"/>
        <v>0</v>
      </c>
      <c r="AT76" s="332">
        <f t="shared" si="149"/>
        <v>0</v>
      </c>
      <c r="AU76" s="332">
        <f t="shared" si="149"/>
        <v>0</v>
      </c>
      <c r="AV76" s="332">
        <f t="shared" si="149"/>
        <v>0</v>
      </c>
      <c r="AW76" s="306">
        <f t="shared" si="149"/>
        <v>0</v>
      </c>
      <c r="AX76" s="306">
        <f t="shared" si="149"/>
        <v>0</v>
      </c>
      <c r="AY76" s="306">
        <f t="shared" si="149"/>
        <v>0</v>
      </c>
      <c r="AZ76" s="306">
        <f t="shared" si="149"/>
        <v>0</v>
      </c>
      <c r="BA76" s="306">
        <f t="shared" si="149"/>
        <v>0</v>
      </c>
      <c r="BB76" s="306">
        <f t="shared" si="149"/>
        <v>0</v>
      </c>
      <c r="BC76" s="306">
        <f t="shared" si="149"/>
        <v>0</v>
      </c>
      <c r="BD76" s="593"/>
      <c r="BE76" s="84">
        <f t="shared" ref="BE76:BH76" si="150">BE29*BE$50</f>
        <v>0</v>
      </c>
      <c r="BF76" s="84">
        <f t="shared" si="150"/>
        <v>0</v>
      </c>
      <c r="BG76" s="84">
        <f t="shared" si="150"/>
        <v>0</v>
      </c>
      <c r="BH76" s="84">
        <f t="shared" si="150"/>
        <v>0</v>
      </c>
      <c r="BI76" s="593"/>
      <c r="BJ76" s="84">
        <f t="shared" ref="BJ76:BW76" si="151">BJ29*BJ$50/60</f>
        <v>0</v>
      </c>
      <c r="BK76" s="84">
        <f t="shared" si="151"/>
        <v>0</v>
      </c>
      <c r="BL76" s="84">
        <f t="shared" si="151"/>
        <v>0</v>
      </c>
      <c r="BM76" s="84">
        <f t="shared" si="151"/>
        <v>0</v>
      </c>
      <c r="BN76" s="84">
        <f t="shared" si="151"/>
        <v>0</v>
      </c>
      <c r="BO76" s="84">
        <f t="shared" si="151"/>
        <v>0</v>
      </c>
      <c r="BP76" s="84">
        <f t="shared" si="151"/>
        <v>0</v>
      </c>
      <c r="BQ76" s="84">
        <f t="shared" si="151"/>
        <v>0</v>
      </c>
      <c r="BR76" s="84">
        <f t="shared" si="151"/>
        <v>0</v>
      </c>
      <c r="BS76" s="84">
        <f t="shared" si="151"/>
        <v>0</v>
      </c>
      <c r="BT76" s="84">
        <f t="shared" si="151"/>
        <v>0</v>
      </c>
      <c r="BU76" s="84">
        <f t="shared" si="151"/>
        <v>0</v>
      </c>
      <c r="BV76" s="84">
        <f t="shared" si="151"/>
        <v>0</v>
      </c>
      <c r="BW76" s="84">
        <f t="shared" si="151"/>
        <v>0</v>
      </c>
      <c r="BX76" s="599"/>
      <c r="BY76" s="100">
        <f t="shared" si="17"/>
        <v>0</v>
      </c>
    </row>
    <row r="77" spans="1:81">
      <c r="A77" s="418">
        <f t="shared" si="67"/>
        <v>27</v>
      </c>
      <c r="B77" s="96" t="str">
        <f t="shared" si="54"/>
        <v>NV27</v>
      </c>
      <c r="C77" s="96" t="str">
        <f t="shared" si="54"/>
        <v>Nguyễn Văn Tuấn</v>
      </c>
      <c r="D77" s="96" t="str">
        <f t="shared" si="54"/>
        <v>Lái xe cơ giới</v>
      </c>
      <c r="E77" s="84">
        <f t="shared" ref="E77:T77" si="152">E30*E$50</f>
        <v>0</v>
      </c>
      <c r="F77" s="84">
        <f t="shared" si="152"/>
        <v>0</v>
      </c>
      <c r="G77" s="84">
        <f t="shared" si="152"/>
        <v>0</v>
      </c>
      <c r="H77" s="84">
        <f t="shared" si="152"/>
        <v>0</v>
      </c>
      <c r="I77" s="84">
        <f t="shared" si="152"/>
        <v>0</v>
      </c>
      <c r="J77" s="84">
        <f t="shared" si="152"/>
        <v>0</v>
      </c>
      <c r="K77" s="84">
        <f t="shared" si="152"/>
        <v>0</v>
      </c>
      <c r="L77" s="84">
        <f t="shared" si="152"/>
        <v>0</v>
      </c>
      <c r="M77" s="84">
        <f t="shared" si="152"/>
        <v>0</v>
      </c>
      <c r="N77" s="84">
        <f t="shared" si="152"/>
        <v>0</v>
      </c>
      <c r="O77" s="84">
        <f t="shared" si="152"/>
        <v>0</v>
      </c>
      <c r="P77" s="84">
        <f t="shared" si="152"/>
        <v>0</v>
      </c>
      <c r="Q77" s="84">
        <f t="shared" si="152"/>
        <v>0</v>
      </c>
      <c r="R77" s="84">
        <f t="shared" si="152"/>
        <v>0</v>
      </c>
      <c r="S77" s="84">
        <f t="shared" si="152"/>
        <v>0</v>
      </c>
      <c r="T77" s="84">
        <f t="shared" si="152"/>
        <v>0</v>
      </c>
      <c r="U77" s="593"/>
      <c r="V77" s="84">
        <f t="shared" ref="V77:AJ77" si="153">V30*V$50</f>
        <v>0</v>
      </c>
      <c r="W77" s="84">
        <f t="shared" si="153"/>
        <v>0</v>
      </c>
      <c r="X77" s="84">
        <f t="shared" si="153"/>
        <v>0</v>
      </c>
      <c r="Y77" s="84">
        <f t="shared" si="153"/>
        <v>0</v>
      </c>
      <c r="Z77" s="84">
        <f t="shared" si="153"/>
        <v>0</v>
      </c>
      <c r="AA77" s="84">
        <f t="shared" si="153"/>
        <v>0</v>
      </c>
      <c r="AB77" s="84">
        <f t="shared" si="153"/>
        <v>0</v>
      </c>
      <c r="AC77" s="84">
        <f t="shared" si="153"/>
        <v>0</v>
      </c>
      <c r="AD77" s="84">
        <f t="shared" si="153"/>
        <v>0</v>
      </c>
      <c r="AE77" s="84">
        <f t="shared" si="153"/>
        <v>0</v>
      </c>
      <c r="AF77" s="84">
        <f t="shared" si="153"/>
        <v>0</v>
      </c>
      <c r="AG77" s="84">
        <f t="shared" si="153"/>
        <v>0</v>
      </c>
      <c r="AH77" s="84">
        <f t="shared" si="153"/>
        <v>0</v>
      </c>
      <c r="AI77" s="84">
        <f t="shared" si="153"/>
        <v>0</v>
      </c>
      <c r="AJ77" s="84">
        <f t="shared" si="153"/>
        <v>0</v>
      </c>
      <c r="AK77" s="593"/>
      <c r="AL77" s="84">
        <f t="shared" ref="AL77:AO77" si="154">AL30*AL$50</f>
        <v>0</v>
      </c>
      <c r="AM77" s="84">
        <f t="shared" si="154"/>
        <v>0</v>
      </c>
      <c r="AN77" s="84">
        <f t="shared" si="154"/>
        <v>0</v>
      </c>
      <c r="AO77" s="84">
        <f t="shared" si="154"/>
        <v>0</v>
      </c>
      <c r="AP77" s="597"/>
      <c r="AQ77" s="332">
        <f t="shared" ref="AQ77:BC77" si="155">AQ30*AQ$50</f>
        <v>0</v>
      </c>
      <c r="AR77" s="332">
        <f t="shared" si="155"/>
        <v>0</v>
      </c>
      <c r="AS77" s="332">
        <f t="shared" si="155"/>
        <v>0</v>
      </c>
      <c r="AT77" s="332">
        <f t="shared" si="155"/>
        <v>0</v>
      </c>
      <c r="AU77" s="332">
        <f t="shared" si="155"/>
        <v>0</v>
      </c>
      <c r="AV77" s="332">
        <f t="shared" si="155"/>
        <v>0</v>
      </c>
      <c r="AW77" s="306">
        <f t="shared" si="155"/>
        <v>0</v>
      </c>
      <c r="AX77" s="306">
        <f t="shared" si="155"/>
        <v>0</v>
      </c>
      <c r="AY77" s="306">
        <f t="shared" si="155"/>
        <v>0</v>
      </c>
      <c r="AZ77" s="306">
        <f t="shared" si="155"/>
        <v>0</v>
      </c>
      <c r="BA77" s="306">
        <f t="shared" si="155"/>
        <v>0</v>
      </c>
      <c r="BB77" s="306">
        <f t="shared" si="155"/>
        <v>0</v>
      </c>
      <c r="BC77" s="306">
        <f t="shared" si="155"/>
        <v>0</v>
      </c>
      <c r="BD77" s="593"/>
      <c r="BE77" s="84">
        <f t="shared" ref="BE77:BH77" si="156">BE30*BE$50</f>
        <v>0</v>
      </c>
      <c r="BF77" s="84">
        <f t="shared" si="156"/>
        <v>0</v>
      </c>
      <c r="BG77" s="84">
        <f t="shared" si="156"/>
        <v>0</v>
      </c>
      <c r="BH77" s="84">
        <f t="shared" si="156"/>
        <v>0</v>
      </c>
      <c r="BI77" s="593"/>
      <c r="BJ77" s="84">
        <f t="shared" ref="BJ77:BW77" si="157">BJ30*BJ$50/60</f>
        <v>0</v>
      </c>
      <c r="BK77" s="84">
        <f t="shared" si="157"/>
        <v>0</v>
      </c>
      <c r="BL77" s="84">
        <f t="shared" si="157"/>
        <v>0</v>
      </c>
      <c r="BM77" s="84">
        <f t="shared" si="157"/>
        <v>0</v>
      </c>
      <c r="BN77" s="84">
        <f t="shared" si="157"/>
        <v>0</v>
      </c>
      <c r="BO77" s="84">
        <f t="shared" si="157"/>
        <v>0</v>
      </c>
      <c r="BP77" s="84">
        <f t="shared" si="157"/>
        <v>0</v>
      </c>
      <c r="BQ77" s="84">
        <f t="shared" si="157"/>
        <v>0</v>
      </c>
      <c r="BR77" s="84">
        <f t="shared" si="157"/>
        <v>0</v>
      </c>
      <c r="BS77" s="84">
        <f t="shared" si="157"/>
        <v>0</v>
      </c>
      <c r="BT77" s="84">
        <f t="shared" si="157"/>
        <v>0</v>
      </c>
      <c r="BU77" s="84">
        <f t="shared" si="157"/>
        <v>0</v>
      </c>
      <c r="BV77" s="84">
        <f t="shared" si="157"/>
        <v>0</v>
      </c>
      <c r="BW77" s="84">
        <f t="shared" si="157"/>
        <v>0</v>
      </c>
      <c r="BX77" s="599"/>
      <c r="BY77" s="100">
        <f t="shared" si="17"/>
        <v>0</v>
      </c>
    </row>
    <row r="78" spans="1:81">
      <c r="A78" s="418">
        <f t="shared" si="67"/>
        <v>28</v>
      </c>
      <c r="B78" s="96" t="str">
        <f t="shared" si="54"/>
        <v>NV28</v>
      </c>
      <c r="C78" s="96" t="str">
        <f t="shared" si="54"/>
        <v>Hà Thanh Truyền</v>
      </c>
      <c r="D78" s="96" t="str">
        <f t="shared" si="54"/>
        <v>Lái xe cơ giới</v>
      </c>
      <c r="E78" s="84">
        <f t="shared" ref="E78:T78" si="158">E31*E$50</f>
        <v>0</v>
      </c>
      <c r="F78" s="84">
        <f t="shared" si="158"/>
        <v>0</v>
      </c>
      <c r="G78" s="84">
        <f t="shared" si="158"/>
        <v>0</v>
      </c>
      <c r="H78" s="84">
        <f t="shared" si="158"/>
        <v>0</v>
      </c>
      <c r="I78" s="84">
        <f t="shared" si="158"/>
        <v>0</v>
      </c>
      <c r="J78" s="84">
        <f t="shared" si="158"/>
        <v>0</v>
      </c>
      <c r="K78" s="84">
        <f t="shared" si="158"/>
        <v>0</v>
      </c>
      <c r="L78" s="84">
        <f t="shared" si="158"/>
        <v>0</v>
      </c>
      <c r="M78" s="84">
        <f t="shared" si="158"/>
        <v>0</v>
      </c>
      <c r="N78" s="84">
        <f t="shared" si="158"/>
        <v>0</v>
      </c>
      <c r="O78" s="84">
        <f t="shared" si="158"/>
        <v>0</v>
      </c>
      <c r="P78" s="84">
        <f t="shared" si="158"/>
        <v>0</v>
      </c>
      <c r="Q78" s="84">
        <f t="shared" si="158"/>
        <v>0</v>
      </c>
      <c r="R78" s="84">
        <f t="shared" si="158"/>
        <v>0</v>
      </c>
      <c r="S78" s="84">
        <f t="shared" si="158"/>
        <v>0</v>
      </c>
      <c r="T78" s="84">
        <f t="shared" si="158"/>
        <v>0</v>
      </c>
      <c r="U78" s="593"/>
      <c r="V78" s="84">
        <f t="shared" ref="V78:AJ78" si="159">V31*V$50</f>
        <v>0</v>
      </c>
      <c r="W78" s="84">
        <f t="shared" si="159"/>
        <v>0</v>
      </c>
      <c r="X78" s="84">
        <f t="shared" si="159"/>
        <v>0</v>
      </c>
      <c r="Y78" s="84">
        <f t="shared" si="159"/>
        <v>0</v>
      </c>
      <c r="Z78" s="84">
        <f t="shared" si="159"/>
        <v>0</v>
      </c>
      <c r="AA78" s="84">
        <f t="shared" si="159"/>
        <v>0</v>
      </c>
      <c r="AB78" s="84">
        <f t="shared" si="159"/>
        <v>0</v>
      </c>
      <c r="AC78" s="84">
        <f t="shared" si="159"/>
        <v>0</v>
      </c>
      <c r="AD78" s="84">
        <f t="shared" si="159"/>
        <v>0</v>
      </c>
      <c r="AE78" s="84">
        <f t="shared" si="159"/>
        <v>0</v>
      </c>
      <c r="AF78" s="84">
        <f t="shared" si="159"/>
        <v>0</v>
      </c>
      <c r="AG78" s="84">
        <f t="shared" si="159"/>
        <v>0</v>
      </c>
      <c r="AH78" s="84">
        <f t="shared" si="159"/>
        <v>0</v>
      </c>
      <c r="AI78" s="84">
        <f t="shared" si="159"/>
        <v>0</v>
      </c>
      <c r="AJ78" s="84">
        <f t="shared" si="159"/>
        <v>0</v>
      </c>
      <c r="AK78" s="593"/>
      <c r="AL78" s="84">
        <f t="shared" ref="AL78:AO78" si="160">AL31*AL$50</f>
        <v>0</v>
      </c>
      <c r="AM78" s="84">
        <f t="shared" si="160"/>
        <v>0</v>
      </c>
      <c r="AN78" s="84">
        <f t="shared" si="160"/>
        <v>0</v>
      </c>
      <c r="AO78" s="84">
        <f t="shared" si="160"/>
        <v>0</v>
      </c>
      <c r="AP78" s="597"/>
      <c r="AQ78" s="332">
        <f t="shared" ref="AQ78:BC78" si="161">AQ31*AQ$50</f>
        <v>0</v>
      </c>
      <c r="AR78" s="332">
        <f t="shared" si="161"/>
        <v>0</v>
      </c>
      <c r="AS78" s="332">
        <f t="shared" si="161"/>
        <v>0</v>
      </c>
      <c r="AT78" s="332">
        <f t="shared" si="161"/>
        <v>0</v>
      </c>
      <c r="AU78" s="332">
        <f t="shared" si="161"/>
        <v>0</v>
      </c>
      <c r="AV78" s="332">
        <f t="shared" si="161"/>
        <v>0</v>
      </c>
      <c r="AW78" s="306">
        <f t="shared" si="161"/>
        <v>0</v>
      </c>
      <c r="AX78" s="306">
        <f t="shared" si="161"/>
        <v>0</v>
      </c>
      <c r="AY78" s="306">
        <f t="shared" si="161"/>
        <v>0</v>
      </c>
      <c r="AZ78" s="306">
        <f t="shared" si="161"/>
        <v>0</v>
      </c>
      <c r="BA78" s="306">
        <f t="shared" si="161"/>
        <v>0</v>
      </c>
      <c r="BB78" s="306">
        <f t="shared" si="161"/>
        <v>0</v>
      </c>
      <c r="BC78" s="306">
        <f t="shared" si="161"/>
        <v>0</v>
      </c>
      <c r="BD78" s="593"/>
      <c r="BE78" s="84">
        <f t="shared" ref="BE78:BH78" si="162">BE31*BE$50</f>
        <v>0</v>
      </c>
      <c r="BF78" s="84">
        <f t="shared" si="162"/>
        <v>0</v>
      </c>
      <c r="BG78" s="84">
        <f t="shared" si="162"/>
        <v>0</v>
      </c>
      <c r="BH78" s="84">
        <f t="shared" si="162"/>
        <v>0</v>
      </c>
      <c r="BI78" s="593"/>
      <c r="BJ78" s="84">
        <f t="shared" ref="BJ78:BW78" si="163">BJ31*BJ$50/60</f>
        <v>0</v>
      </c>
      <c r="BK78" s="84">
        <f t="shared" si="163"/>
        <v>0</v>
      </c>
      <c r="BL78" s="84">
        <f t="shared" si="163"/>
        <v>0</v>
      </c>
      <c r="BM78" s="84">
        <f t="shared" si="163"/>
        <v>0</v>
      </c>
      <c r="BN78" s="84">
        <f t="shared" si="163"/>
        <v>0</v>
      </c>
      <c r="BO78" s="84">
        <f t="shared" si="163"/>
        <v>0</v>
      </c>
      <c r="BP78" s="84">
        <f t="shared" si="163"/>
        <v>0</v>
      </c>
      <c r="BQ78" s="84">
        <f t="shared" si="163"/>
        <v>0</v>
      </c>
      <c r="BR78" s="84">
        <f t="shared" si="163"/>
        <v>0</v>
      </c>
      <c r="BS78" s="84">
        <f t="shared" si="163"/>
        <v>0</v>
      </c>
      <c r="BT78" s="84">
        <f t="shared" si="163"/>
        <v>0</v>
      </c>
      <c r="BU78" s="84">
        <f t="shared" si="163"/>
        <v>0</v>
      </c>
      <c r="BV78" s="84">
        <f t="shared" si="163"/>
        <v>0</v>
      </c>
      <c r="BW78" s="84">
        <f t="shared" si="163"/>
        <v>0</v>
      </c>
      <c r="BX78" s="599"/>
      <c r="BY78" s="100">
        <f t="shared" si="17"/>
        <v>0</v>
      </c>
    </row>
    <row r="79" spans="1:81">
      <c r="A79" s="418">
        <f t="shared" si="67"/>
        <v>29</v>
      </c>
      <c r="B79" s="96" t="str">
        <f t="shared" si="54"/>
        <v>NV29</v>
      </c>
      <c r="C79" s="96" t="str">
        <f t="shared" si="54"/>
        <v>Phan Văn Bạn</v>
      </c>
      <c r="D79" s="96" t="str">
        <f t="shared" si="54"/>
        <v>Lái xe cơ giới</v>
      </c>
      <c r="E79" s="84">
        <f t="shared" ref="E79:T79" si="164">E32*E$50</f>
        <v>0</v>
      </c>
      <c r="F79" s="84">
        <f t="shared" si="164"/>
        <v>0</v>
      </c>
      <c r="G79" s="84">
        <f t="shared" si="164"/>
        <v>0</v>
      </c>
      <c r="H79" s="84">
        <f t="shared" si="164"/>
        <v>0</v>
      </c>
      <c r="I79" s="84">
        <f t="shared" si="164"/>
        <v>0</v>
      </c>
      <c r="J79" s="84">
        <f t="shared" si="164"/>
        <v>0</v>
      </c>
      <c r="K79" s="84">
        <f t="shared" si="164"/>
        <v>0</v>
      </c>
      <c r="L79" s="84">
        <f t="shared" si="164"/>
        <v>0</v>
      </c>
      <c r="M79" s="84">
        <f t="shared" si="164"/>
        <v>0</v>
      </c>
      <c r="N79" s="84">
        <f t="shared" si="164"/>
        <v>0</v>
      </c>
      <c r="O79" s="84">
        <f t="shared" si="164"/>
        <v>0</v>
      </c>
      <c r="P79" s="84">
        <f t="shared" si="164"/>
        <v>0</v>
      </c>
      <c r="Q79" s="84">
        <f t="shared" si="164"/>
        <v>0</v>
      </c>
      <c r="R79" s="84">
        <f t="shared" si="164"/>
        <v>0</v>
      </c>
      <c r="S79" s="84">
        <f t="shared" si="164"/>
        <v>0</v>
      </c>
      <c r="T79" s="84">
        <f t="shared" si="164"/>
        <v>0</v>
      </c>
      <c r="U79" s="593"/>
      <c r="V79" s="84">
        <f t="shared" ref="V79:AJ79" si="165">V32*V$50</f>
        <v>0</v>
      </c>
      <c r="W79" s="84">
        <f t="shared" si="165"/>
        <v>0</v>
      </c>
      <c r="X79" s="84">
        <f t="shared" si="165"/>
        <v>0</v>
      </c>
      <c r="Y79" s="84">
        <f t="shared" si="165"/>
        <v>0</v>
      </c>
      <c r="Z79" s="84">
        <f t="shared" si="165"/>
        <v>0</v>
      </c>
      <c r="AA79" s="84">
        <f t="shared" si="165"/>
        <v>0</v>
      </c>
      <c r="AB79" s="84">
        <f t="shared" si="165"/>
        <v>0</v>
      </c>
      <c r="AC79" s="84">
        <f t="shared" si="165"/>
        <v>0</v>
      </c>
      <c r="AD79" s="84">
        <f t="shared" si="165"/>
        <v>0</v>
      </c>
      <c r="AE79" s="84">
        <f t="shared" si="165"/>
        <v>0</v>
      </c>
      <c r="AF79" s="84">
        <f t="shared" si="165"/>
        <v>0</v>
      </c>
      <c r="AG79" s="84">
        <f t="shared" si="165"/>
        <v>0</v>
      </c>
      <c r="AH79" s="84">
        <f t="shared" si="165"/>
        <v>0</v>
      </c>
      <c r="AI79" s="84">
        <f t="shared" si="165"/>
        <v>0</v>
      </c>
      <c r="AJ79" s="84">
        <f t="shared" si="165"/>
        <v>0</v>
      </c>
      <c r="AK79" s="593"/>
      <c r="AL79" s="84">
        <f t="shared" ref="AL79:AO79" si="166">AL32*AL$50</f>
        <v>126173.07692307692</v>
      </c>
      <c r="AM79" s="84">
        <f t="shared" si="166"/>
        <v>33646.153846153844</v>
      </c>
      <c r="AN79" s="84">
        <f t="shared" si="166"/>
        <v>0</v>
      </c>
      <c r="AO79" s="84">
        <f t="shared" si="166"/>
        <v>98134.615384615376</v>
      </c>
      <c r="AP79" s="597"/>
      <c r="AQ79" s="332">
        <f t="shared" ref="AQ79:BC79" si="167">AQ32*AQ$50</f>
        <v>0</v>
      </c>
      <c r="AR79" s="332">
        <f t="shared" si="167"/>
        <v>0</v>
      </c>
      <c r="AS79" s="332">
        <f t="shared" si="167"/>
        <v>0</v>
      </c>
      <c r="AT79" s="332">
        <f t="shared" si="167"/>
        <v>0</v>
      </c>
      <c r="AU79" s="332">
        <f t="shared" si="167"/>
        <v>0</v>
      </c>
      <c r="AV79" s="332">
        <f t="shared" si="167"/>
        <v>0</v>
      </c>
      <c r="AW79" s="306">
        <f t="shared" si="167"/>
        <v>0</v>
      </c>
      <c r="AX79" s="306">
        <f t="shared" si="167"/>
        <v>0</v>
      </c>
      <c r="AY79" s="306">
        <f t="shared" si="167"/>
        <v>0</v>
      </c>
      <c r="AZ79" s="306">
        <f t="shared" si="167"/>
        <v>0</v>
      </c>
      <c r="BA79" s="306">
        <f t="shared" si="167"/>
        <v>0</v>
      </c>
      <c r="BB79" s="306">
        <f t="shared" si="167"/>
        <v>0</v>
      </c>
      <c r="BC79" s="306">
        <f t="shared" si="167"/>
        <v>0</v>
      </c>
      <c r="BD79" s="593"/>
      <c r="BE79" s="84">
        <f t="shared" ref="BE79:BH79" si="168">BE32*BE$50</f>
        <v>0</v>
      </c>
      <c r="BF79" s="84">
        <f t="shared" si="168"/>
        <v>0</v>
      </c>
      <c r="BG79" s="84">
        <f t="shared" si="168"/>
        <v>0</v>
      </c>
      <c r="BH79" s="84">
        <f t="shared" si="168"/>
        <v>0</v>
      </c>
      <c r="BI79" s="593"/>
      <c r="BJ79" s="84">
        <f t="shared" ref="BJ79:BW79" si="169">BJ32*BJ$50/60</f>
        <v>0</v>
      </c>
      <c r="BK79" s="84">
        <f t="shared" si="169"/>
        <v>0</v>
      </c>
      <c r="BL79" s="84">
        <f t="shared" si="169"/>
        <v>0</v>
      </c>
      <c r="BM79" s="84">
        <f t="shared" si="169"/>
        <v>0</v>
      </c>
      <c r="BN79" s="84">
        <f t="shared" si="169"/>
        <v>0</v>
      </c>
      <c r="BO79" s="84">
        <f t="shared" si="169"/>
        <v>0</v>
      </c>
      <c r="BP79" s="84">
        <f t="shared" si="169"/>
        <v>0</v>
      </c>
      <c r="BQ79" s="84">
        <f t="shared" si="169"/>
        <v>0</v>
      </c>
      <c r="BR79" s="84">
        <f t="shared" si="169"/>
        <v>0</v>
      </c>
      <c r="BS79" s="84">
        <f t="shared" si="169"/>
        <v>0</v>
      </c>
      <c r="BT79" s="84">
        <f t="shared" si="169"/>
        <v>0</v>
      </c>
      <c r="BU79" s="84">
        <f t="shared" si="169"/>
        <v>0</v>
      </c>
      <c r="BV79" s="84">
        <f t="shared" si="169"/>
        <v>0</v>
      </c>
      <c r="BW79" s="84">
        <f t="shared" si="169"/>
        <v>0</v>
      </c>
      <c r="BX79" s="599"/>
      <c r="BY79" s="100">
        <f t="shared" si="17"/>
        <v>257953.84615384613</v>
      </c>
    </row>
    <row r="80" spans="1:81">
      <c r="A80" s="418">
        <f t="shared" si="67"/>
        <v>30</v>
      </c>
      <c r="B80" s="96" t="str">
        <f t="shared" si="54"/>
        <v>NV30</v>
      </c>
      <c r="C80" s="96" t="str">
        <f t="shared" si="54"/>
        <v>Lê Minh Trọng</v>
      </c>
      <c r="D80" s="96" t="str">
        <f t="shared" si="54"/>
        <v>Lái xe cơ giới</v>
      </c>
      <c r="E80" s="84">
        <f t="shared" ref="E80:T80" si="170">E33*E$50</f>
        <v>0</v>
      </c>
      <c r="F80" s="84">
        <f t="shared" si="170"/>
        <v>0</v>
      </c>
      <c r="G80" s="84">
        <f t="shared" si="170"/>
        <v>0</v>
      </c>
      <c r="H80" s="84">
        <f t="shared" si="170"/>
        <v>0</v>
      </c>
      <c r="I80" s="84">
        <f t="shared" si="170"/>
        <v>0</v>
      </c>
      <c r="J80" s="84">
        <f t="shared" si="170"/>
        <v>0</v>
      </c>
      <c r="K80" s="84">
        <f t="shared" si="170"/>
        <v>0</v>
      </c>
      <c r="L80" s="84">
        <f t="shared" si="170"/>
        <v>0</v>
      </c>
      <c r="M80" s="84">
        <f t="shared" si="170"/>
        <v>0</v>
      </c>
      <c r="N80" s="84">
        <f t="shared" si="170"/>
        <v>0</v>
      </c>
      <c r="O80" s="84">
        <f t="shared" si="170"/>
        <v>0</v>
      </c>
      <c r="P80" s="84">
        <f t="shared" si="170"/>
        <v>0</v>
      </c>
      <c r="Q80" s="84">
        <f t="shared" si="170"/>
        <v>0</v>
      </c>
      <c r="R80" s="84">
        <f t="shared" si="170"/>
        <v>0</v>
      </c>
      <c r="S80" s="84">
        <f t="shared" si="170"/>
        <v>0</v>
      </c>
      <c r="T80" s="84">
        <f t="shared" si="170"/>
        <v>0</v>
      </c>
      <c r="U80" s="593"/>
      <c r="V80" s="84">
        <f t="shared" ref="V80:AJ80" si="171">V33*V$50</f>
        <v>0</v>
      </c>
      <c r="W80" s="84">
        <f t="shared" si="171"/>
        <v>0</v>
      </c>
      <c r="X80" s="84">
        <f t="shared" si="171"/>
        <v>0</v>
      </c>
      <c r="Y80" s="84">
        <f t="shared" si="171"/>
        <v>0</v>
      </c>
      <c r="Z80" s="84">
        <f t="shared" si="171"/>
        <v>0</v>
      </c>
      <c r="AA80" s="84">
        <f t="shared" si="171"/>
        <v>0</v>
      </c>
      <c r="AB80" s="84">
        <f t="shared" si="171"/>
        <v>0</v>
      </c>
      <c r="AC80" s="84">
        <f t="shared" si="171"/>
        <v>0</v>
      </c>
      <c r="AD80" s="84">
        <f t="shared" si="171"/>
        <v>0</v>
      </c>
      <c r="AE80" s="84">
        <f t="shared" si="171"/>
        <v>0</v>
      </c>
      <c r="AF80" s="84">
        <f t="shared" si="171"/>
        <v>0</v>
      </c>
      <c r="AG80" s="84">
        <f t="shared" si="171"/>
        <v>0</v>
      </c>
      <c r="AH80" s="84">
        <f t="shared" si="171"/>
        <v>0</v>
      </c>
      <c r="AI80" s="84">
        <f t="shared" si="171"/>
        <v>0</v>
      </c>
      <c r="AJ80" s="84">
        <f t="shared" si="171"/>
        <v>0</v>
      </c>
      <c r="AK80" s="593"/>
      <c r="AL80" s="84">
        <f t="shared" ref="AL80:AO80" si="172">AL33*AL$50</f>
        <v>0</v>
      </c>
      <c r="AM80" s="84">
        <f t="shared" si="172"/>
        <v>0</v>
      </c>
      <c r="AN80" s="84">
        <f t="shared" si="172"/>
        <v>0</v>
      </c>
      <c r="AO80" s="84">
        <f t="shared" si="172"/>
        <v>0</v>
      </c>
      <c r="AP80" s="597"/>
      <c r="AQ80" s="332">
        <f t="shared" ref="AQ80:BC80" si="173">AQ33*AQ$50</f>
        <v>0</v>
      </c>
      <c r="AR80" s="332">
        <f t="shared" si="173"/>
        <v>0</v>
      </c>
      <c r="AS80" s="332">
        <f t="shared" si="173"/>
        <v>0</v>
      </c>
      <c r="AT80" s="332">
        <f t="shared" si="173"/>
        <v>0</v>
      </c>
      <c r="AU80" s="332">
        <f t="shared" si="173"/>
        <v>0</v>
      </c>
      <c r="AV80" s="332">
        <f t="shared" si="173"/>
        <v>0</v>
      </c>
      <c r="AW80" s="306">
        <f t="shared" si="173"/>
        <v>0</v>
      </c>
      <c r="AX80" s="306">
        <f t="shared" si="173"/>
        <v>0</v>
      </c>
      <c r="AY80" s="306">
        <f t="shared" si="173"/>
        <v>0</v>
      </c>
      <c r="AZ80" s="306">
        <f t="shared" si="173"/>
        <v>0</v>
      </c>
      <c r="BA80" s="306">
        <f t="shared" si="173"/>
        <v>0</v>
      </c>
      <c r="BB80" s="306">
        <f t="shared" si="173"/>
        <v>0</v>
      </c>
      <c r="BC80" s="306">
        <f t="shared" si="173"/>
        <v>0</v>
      </c>
      <c r="BD80" s="593"/>
      <c r="BE80" s="84">
        <f t="shared" ref="BE80:BH80" si="174">BE33*BE$50</f>
        <v>0</v>
      </c>
      <c r="BF80" s="84">
        <f t="shared" si="174"/>
        <v>0</v>
      </c>
      <c r="BG80" s="84">
        <f t="shared" si="174"/>
        <v>0</v>
      </c>
      <c r="BH80" s="84">
        <f t="shared" si="174"/>
        <v>0</v>
      </c>
      <c r="BI80" s="593"/>
      <c r="BJ80" s="84">
        <f t="shared" ref="BJ80:BW80" si="175">BJ33*BJ$50/60</f>
        <v>0</v>
      </c>
      <c r="BK80" s="84">
        <f t="shared" si="175"/>
        <v>0</v>
      </c>
      <c r="BL80" s="84">
        <f t="shared" si="175"/>
        <v>0</v>
      </c>
      <c r="BM80" s="84">
        <f t="shared" si="175"/>
        <v>0</v>
      </c>
      <c r="BN80" s="84">
        <f t="shared" si="175"/>
        <v>0</v>
      </c>
      <c r="BO80" s="84">
        <f t="shared" si="175"/>
        <v>0</v>
      </c>
      <c r="BP80" s="84">
        <f t="shared" si="175"/>
        <v>0</v>
      </c>
      <c r="BQ80" s="84">
        <f t="shared" si="175"/>
        <v>0</v>
      </c>
      <c r="BR80" s="84">
        <f t="shared" si="175"/>
        <v>0</v>
      </c>
      <c r="BS80" s="84">
        <f t="shared" si="175"/>
        <v>0</v>
      </c>
      <c r="BT80" s="84">
        <f t="shared" si="175"/>
        <v>0</v>
      </c>
      <c r="BU80" s="84">
        <f t="shared" si="175"/>
        <v>0</v>
      </c>
      <c r="BV80" s="84">
        <f t="shared" si="175"/>
        <v>0</v>
      </c>
      <c r="BW80" s="84">
        <f t="shared" si="175"/>
        <v>0</v>
      </c>
      <c r="BX80" s="599"/>
      <c r="BY80" s="100">
        <f t="shared" si="17"/>
        <v>0</v>
      </c>
      <c r="CC80" s="108"/>
    </row>
    <row r="81" spans="1:84" s="54" customFormat="1">
      <c r="A81" s="418">
        <f t="shared" si="67"/>
        <v>31</v>
      </c>
      <c r="B81" s="96" t="str">
        <f t="shared" si="54"/>
        <v>NV31</v>
      </c>
      <c r="C81" s="96" t="str">
        <f t="shared" si="54"/>
        <v>Nguyễn Văn Lâm</v>
      </c>
      <c r="D81" s="96" t="str">
        <f t="shared" si="54"/>
        <v>Lái xe cơ giới</v>
      </c>
      <c r="E81" s="84">
        <f t="shared" ref="E81:T81" si="176">E34*E$50</f>
        <v>0</v>
      </c>
      <c r="F81" s="84">
        <f t="shared" si="176"/>
        <v>0</v>
      </c>
      <c r="G81" s="84">
        <f t="shared" si="176"/>
        <v>0</v>
      </c>
      <c r="H81" s="84">
        <f t="shared" si="176"/>
        <v>0</v>
      </c>
      <c r="I81" s="84">
        <f t="shared" si="176"/>
        <v>0</v>
      </c>
      <c r="J81" s="84">
        <f t="shared" si="176"/>
        <v>0</v>
      </c>
      <c r="K81" s="84">
        <f t="shared" si="176"/>
        <v>0</v>
      </c>
      <c r="L81" s="84">
        <f t="shared" si="176"/>
        <v>0</v>
      </c>
      <c r="M81" s="84">
        <f t="shared" si="176"/>
        <v>0</v>
      </c>
      <c r="N81" s="84">
        <f t="shared" si="176"/>
        <v>0</v>
      </c>
      <c r="O81" s="84">
        <f t="shared" si="176"/>
        <v>0</v>
      </c>
      <c r="P81" s="84">
        <f t="shared" si="176"/>
        <v>0</v>
      </c>
      <c r="Q81" s="84">
        <f t="shared" si="176"/>
        <v>0</v>
      </c>
      <c r="R81" s="84">
        <f t="shared" si="176"/>
        <v>0</v>
      </c>
      <c r="S81" s="84">
        <f t="shared" si="176"/>
        <v>0</v>
      </c>
      <c r="T81" s="84">
        <f t="shared" si="176"/>
        <v>0</v>
      </c>
      <c r="U81" s="593"/>
      <c r="V81" s="84">
        <f t="shared" ref="V81:AJ81" si="177">V34*V$50</f>
        <v>0</v>
      </c>
      <c r="W81" s="84">
        <f t="shared" si="177"/>
        <v>0</v>
      </c>
      <c r="X81" s="84">
        <f t="shared" si="177"/>
        <v>0</v>
      </c>
      <c r="Y81" s="84">
        <f t="shared" si="177"/>
        <v>0</v>
      </c>
      <c r="Z81" s="84">
        <f t="shared" si="177"/>
        <v>0</v>
      </c>
      <c r="AA81" s="84">
        <f t="shared" si="177"/>
        <v>0</v>
      </c>
      <c r="AB81" s="84">
        <f t="shared" si="177"/>
        <v>0</v>
      </c>
      <c r="AC81" s="84">
        <f t="shared" si="177"/>
        <v>0</v>
      </c>
      <c r="AD81" s="84">
        <f t="shared" si="177"/>
        <v>0</v>
      </c>
      <c r="AE81" s="84">
        <f t="shared" si="177"/>
        <v>0</v>
      </c>
      <c r="AF81" s="84">
        <f t="shared" si="177"/>
        <v>0</v>
      </c>
      <c r="AG81" s="84">
        <f t="shared" si="177"/>
        <v>0</v>
      </c>
      <c r="AH81" s="84">
        <f t="shared" si="177"/>
        <v>0</v>
      </c>
      <c r="AI81" s="84">
        <f t="shared" si="177"/>
        <v>0</v>
      </c>
      <c r="AJ81" s="84">
        <f t="shared" si="177"/>
        <v>0</v>
      </c>
      <c r="AK81" s="593"/>
      <c r="AL81" s="84">
        <f t="shared" ref="AL81:AO81" si="178">AL34*AL$50</f>
        <v>0</v>
      </c>
      <c r="AM81" s="84">
        <f t="shared" si="178"/>
        <v>0</v>
      </c>
      <c r="AN81" s="84">
        <f t="shared" si="178"/>
        <v>0</v>
      </c>
      <c r="AO81" s="84">
        <f t="shared" si="178"/>
        <v>0</v>
      </c>
      <c r="AP81" s="597"/>
      <c r="AQ81" s="332">
        <f t="shared" ref="AQ81:BC81" si="179">AQ34*AQ$50</f>
        <v>0</v>
      </c>
      <c r="AR81" s="332">
        <f t="shared" si="179"/>
        <v>0</v>
      </c>
      <c r="AS81" s="332">
        <f t="shared" si="179"/>
        <v>0</v>
      </c>
      <c r="AT81" s="332">
        <f t="shared" si="179"/>
        <v>0</v>
      </c>
      <c r="AU81" s="332">
        <f t="shared" si="179"/>
        <v>0</v>
      </c>
      <c r="AV81" s="332">
        <f t="shared" si="179"/>
        <v>0</v>
      </c>
      <c r="AW81" s="306">
        <f t="shared" si="179"/>
        <v>0</v>
      </c>
      <c r="AX81" s="306">
        <f t="shared" si="179"/>
        <v>0</v>
      </c>
      <c r="AY81" s="306">
        <f t="shared" si="179"/>
        <v>0</v>
      </c>
      <c r="AZ81" s="306">
        <f t="shared" si="179"/>
        <v>0</v>
      </c>
      <c r="BA81" s="306">
        <f t="shared" si="179"/>
        <v>0</v>
      </c>
      <c r="BB81" s="306">
        <f t="shared" si="179"/>
        <v>0</v>
      </c>
      <c r="BC81" s="306">
        <f t="shared" si="179"/>
        <v>0</v>
      </c>
      <c r="BD81" s="593"/>
      <c r="BE81" s="84">
        <f t="shared" ref="BE81:BH81" si="180">BE34*BE$50</f>
        <v>0</v>
      </c>
      <c r="BF81" s="84">
        <f t="shared" si="180"/>
        <v>0</v>
      </c>
      <c r="BG81" s="84">
        <f t="shared" si="180"/>
        <v>0</v>
      </c>
      <c r="BH81" s="84">
        <f t="shared" si="180"/>
        <v>0</v>
      </c>
      <c r="BI81" s="593"/>
      <c r="BJ81" s="84">
        <f t="shared" ref="BJ81:BW81" si="181">BJ34*BJ$50/60</f>
        <v>0</v>
      </c>
      <c r="BK81" s="84">
        <f t="shared" si="181"/>
        <v>0</v>
      </c>
      <c r="BL81" s="84">
        <f t="shared" si="181"/>
        <v>0</v>
      </c>
      <c r="BM81" s="84">
        <f t="shared" si="181"/>
        <v>0</v>
      </c>
      <c r="BN81" s="84">
        <f t="shared" si="181"/>
        <v>0</v>
      </c>
      <c r="BO81" s="84">
        <f t="shared" si="181"/>
        <v>0</v>
      </c>
      <c r="BP81" s="84">
        <f t="shared" si="181"/>
        <v>0</v>
      </c>
      <c r="BQ81" s="84">
        <f t="shared" si="181"/>
        <v>0</v>
      </c>
      <c r="BR81" s="84">
        <f t="shared" si="181"/>
        <v>0</v>
      </c>
      <c r="BS81" s="84">
        <f t="shared" si="181"/>
        <v>0</v>
      </c>
      <c r="BT81" s="84">
        <f t="shared" si="181"/>
        <v>0</v>
      </c>
      <c r="BU81" s="84">
        <f t="shared" si="181"/>
        <v>0</v>
      </c>
      <c r="BV81" s="84">
        <f t="shared" si="181"/>
        <v>0</v>
      </c>
      <c r="BW81" s="84">
        <f t="shared" si="181"/>
        <v>0</v>
      </c>
      <c r="BX81" s="599"/>
      <c r="BY81" s="100">
        <f t="shared" si="17"/>
        <v>0</v>
      </c>
      <c r="CC81" s="108"/>
      <c r="CD81"/>
      <c r="CE81"/>
      <c r="CF81"/>
    </row>
    <row r="82" spans="1:84" s="54" customFormat="1" ht="22.8">
      <c r="A82" s="418">
        <f t="shared" si="67"/>
        <v>32</v>
      </c>
      <c r="B82" s="96" t="str">
        <f t="shared" si="54"/>
        <v>NV32</v>
      </c>
      <c r="C82" s="96" t="str">
        <f t="shared" si="54"/>
        <v>Lương Minh Tâm</v>
      </c>
      <c r="D82" s="96" t="str">
        <f t="shared" si="54"/>
        <v>Vận hành xe xúc BH</v>
      </c>
      <c r="E82" s="84">
        <f t="shared" ref="E82:T82" si="182">E35*E$50</f>
        <v>0</v>
      </c>
      <c r="F82" s="84">
        <f t="shared" si="182"/>
        <v>0</v>
      </c>
      <c r="G82" s="84">
        <f t="shared" si="182"/>
        <v>0</v>
      </c>
      <c r="H82" s="84">
        <f t="shared" si="182"/>
        <v>0</v>
      </c>
      <c r="I82" s="84">
        <f t="shared" si="182"/>
        <v>0</v>
      </c>
      <c r="J82" s="84">
        <f t="shared" si="182"/>
        <v>0</v>
      </c>
      <c r="K82" s="84">
        <f t="shared" si="182"/>
        <v>0</v>
      </c>
      <c r="L82" s="84">
        <f t="shared" si="182"/>
        <v>0</v>
      </c>
      <c r="M82" s="84">
        <f t="shared" si="182"/>
        <v>0</v>
      </c>
      <c r="N82" s="84">
        <f t="shared" si="182"/>
        <v>0</v>
      </c>
      <c r="O82" s="84">
        <f t="shared" si="182"/>
        <v>0</v>
      </c>
      <c r="P82" s="84">
        <f t="shared" si="182"/>
        <v>0</v>
      </c>
      <c r="Q82" s="84">
        <f t="shared" si="182"/>
        <v>0</v>
      </c>
      <c r="R82" s="84">
        <f t="shared" si="182"/>
        <v>0</v>
      </c>
      <c r="S82" s="84">
        <f t="shared" si="182"/>
        <v>0</v>
      </c>
      <c r="T82" s="84">
        <f t="shared" si="182"/>
        <v>0</v>
      </c>
      <c r="U82" s="593"/>
      <c r="V82" s="84">
        <f t="shared" ref="V82:AJ82" si="183">V35*V$50</f>
        <v>0</v>
      </c>
      <c r="W82" s="84">
        <f t="shared" si="183"/>
        <v>0</v>
      </c>
      <c r="X82" s="84">
        <f t="shared" si="183"/>
        <v>0</v>
      </c>
      <c r="Y82" s="84">
        <f t="shared" si="183"/>
        <v>0</v>
      </c>
      <c r="Z82" s="84">
        <f t="shared" si="183"/>
        <v>0</v>
      </c>
      <c r="AA82" s="84">
        <f t="shared" si="183"/>
        <v>0</v>
      </c>
      <c r="AB82" s="84">
        <f t="shared" si="183"/>
        <v>0</v>
      </c>
      <c r="AC82" s="84">
        <f t="shared" si="183"/>
        <v>0</v>
      </c>
      <c r="AD82" s="84">
        <f t="shared" si="183"/>
        <v>0</v>
      </c>
      <c r="AE82" s="84">
        <f t="shared" si="183"/>
        <v>0</v>
      </c>
      <c r="AF82" s="84">
        <f t="shared" si="183"/>
        <v>0</v>
      </c>
      <c r="AG82" s="84">
        <f t="shared" si="183"/>
        <v>0</v>
      </c>
      <c r="AH82" s="84">
        <f t="shared" si="183"/>
        <v>0</v>
      </c>
      <c r="AI82" s="84">
        <f t="shared" si="183"/>
        <v>0</v>
      </c>
      <c r="AJ82" s="84">
        <f t="shared" si="183"/>
        <v>0</v>
      </c>
      <c r="AK82" s="593"/>
      <c r="AL82" s="84">
        <f t="shared" ref="AL82:AO82" si="184">AL35*AL$50</f>
        <v>0</v>
      </c>
      <c r="AM82" s="84">
        <f t="shared" si="184"/>
        <v>0</v>
      </c>
      <c r="AN82" s="84">
        <f t="shared" si="184"/>
        <v>0</v>
      </c>
      <c r="AO82" s="84">
        <f t="shared" si="184"/>
        <v>0</v>
      </c>
      <c r="AP82" s="597"/>
      <c r="AQ82" s="332">
        <f t="shared" ref="AQ82:BC82" si="185">AQ35*AQ$50</f>
        <v>0</v>
      </c>
      <c r="AR82" s="332">
        <f t="shared" si="185"/>
        <v>0</v>
      </c>
      <c r="AS82" s="332">
        <f t="shared" si="185"/>
        <v>0</v>
      </c>
      <c r="AT82" s="332">
        <f t="shared" si="185"/>
        <v>0</v>
      </c>
      <c r="AU82" s="332">
        <f t="shared" si="185"/>
        <v>0</v>
      </c>
      <c r="AV82" s="332">
        <f t="shared" si="185"/>
        <v>0</v>
      </c>
      <c r="AW82" s="306">
        <f t="shared" si="185"/>
        <v>0</v>
      </c>
      <c r="AX82" s="306">
        <f t="shared" si="185"/>
        <v>0</v>
      </c>
      <c r="AY82" s="306">
        <f t="shared" si="185"/>
        <v>0</v>
      </c>
      <c r="AZ82" s="306">
        <f t="shared" si="185"/>
        <v>0</v>
      </c>
      <c r="BA82" s="306">
        <f t="shared" si="185"/>
        <v>0</v>
      </c>
      <c r="BB82" s="306">
        <f t="shared" si="185"/>
        <v>0</v>
      </c>
      <c r="BC82" s="306">
        <f t="shared" si="185"/>
        <v>0</v>
      </c>
      <c r="BD82" s="593"/>
      <c r="BE82" s="84">
        <f t="shared" ref="BE82:BH82" si="186">BE35*BE$50</f>
        <v>0</v>
      </c>
      <c r="BF82" s="84">
        <f t="shared" si="186"/>
        <v>0</v>
      </c>
      <c r="BG82" s="84">
        <f t="shared" si="186"/>
        <v>0</v>
      </c>
      <c r="BH82" s="84">
        <f t="shared" si="186"/>
        <v>0</v>
      </c>
      <c r="BI82" s="593"/>
      <c r="BJ82" s="84">
        <f t="shared" ref="BJ82:BW82" si="187">BJ35*BJ$50/60</f>
        <v>0</v>
      </c>
      <c r="BK82" s="84">
        <f t="shared" si="187"/>
        <v>0</v>
      </c>
      <c r="BL82" s="84">
        <f t="shared" si="187"/>
        <v>0</v>
      </c>
      <c r="BM82" s="84">
        <f t="shared" si="187"/>
        <v>0</v>
      </c>
      <c r="BN82" s="84">
        <f t="shared" si="187"/>
        <v>0</v>
      </c>
      <c r="BO82" s="84">
        <f t="shared" si="187"/>
        <v>0</v>
      </c>
      <c r="BP82" s="84">
        <f t="shared" si="187"/>
        <v>0</v>
      </c>
      <c r="BQ82" s="84">
        <f t="shared" si="187"/>
        <v>0</v>
      </c>
      <c r="BR82" s="84">
        <f t="shared" si="187"/>
        <v>0</v>
      </c>
      <c r="BS82" s="84">
        <f t="shared" si="187"/>
        <v>0</v>
      </c>
      <c r="BT82" s="84">
        <f t="shared" si="187"/>
        <v>0</v>
      </c>
      <c r="BU82" s="84">
        <f t="shared" si="187"/>
        <v>0</v>
      </c>
      <c r="BV82" s="84">
        <f t="shared" si="187"/>
        <v>0</v>
      </c>
      <c r="BW82" s="84">
        <f t="shared" si="187"/>
        <v>0</v>
      </c>
      <c r="BX82" s="599"/>
      <c r="BY82" s="100">
        <f t="shared" si="17"/>
        <v>0</v>
      </c>
      <c r="CC82" s="108"/>
    </row>
    <row r="83" spans="1:84">
      <c r="A83" s="418">
        <f t="shared" si="67"/>
        <v>33</v>
      </c>
      <c r="B83" s="96" t="str">
        <f t="shared" si="54"/>
        <v>NV33</v>
      </c>
      <c r="C83" s="96" t="str">
        <f t="shared" si="54"/>
        <v>Nguyễn Thành Tài</v>
      </c>
      <c r="D83" s="96" t="str">
        <f t="shared" si="54"/>
        <v>Lái xe nâng</v>
      </c>
      <c r="E83" s="84">
        <f t="shared" ref="E83:T83" si="188">E36*E$50</f>
        <v>0</v>
      </c>
      <c r="F83" s="84">
        <f t="shared" si="188"/>
        <v>0</v>
      </c>
      <c r="G83" s="84">
        <f t="shared" si="188"/>
        <v>0</v>
      </c>
      <c r="H83" s="84">
        <f t="shared" si="188"/>
        <v>0</v>
      </c>
      <c r="I83" s="84">
        <f t="shared" si="188"/>
        <v>0</v>
      </c>
      <c r="J83" s="84">
        <f t="shared" si="188"/>
        <v>0</v>
      </c>
      <c r="K83" s="84">
        <f t="shared" si="188"/>
        <v>0</v>
      </c>
      <c r="L83" s="84">
        <f t="shared" si="188"/>
        <v>0</v>
      </c>
      <c r="M83" s="84">
        <f t="shared" si="188"/>
        <v>0</v>
      </c>
      <c r="N83" s="84">
        <f t="shared" si="188"/>
        <v>0</v>
      </c>
      <c r="O83" s="84">
        <f t="shared" si="188"/>
        <v>0</v>
      </c>
      <c r="P83" s="84">
        <f t="shared" si="188"/>
        <v>0</v>
      </c>
      <c r="Q83" s="84">
        <f t="shared" si="188"/>
        <v>0</v>
      </c>
      <c r="R83" s="84">
        <f t="shared" si="188"/>
        <v>0</v>
      </c>
      <c r="S83" s="84">
        <f t="shared" si="188"/>
        <v>0</v>
      </c>
      <c r="T83" s="84">
        <f t="shared" si="188"/>
        <v>0</v>
      </c>
      <c r="U83" s="593"/>
      <c r="V83" s="84">
        <f t="shared" ref="V83:AJ83" si="189">V36*V$50</f>
        <v>0</v>
      </c>
      <c r="W83" s="84">
        <f t="shared" si="189"/>
        <v>0</v>
      </c>
      <c r="X83" s="84">
        <f t="shared" si="189"/>
        <v>0</v>
      </c>
      <c r="Y83" s="84">
        <f t="shared" si="189"/>
        <v>0</v>
      </c>
      <c r="Z83" s="84">
        <f t="shared" si="189"/>
        <v>0</v>
      </c>
      <c r="AA83" s="84">
        <f t="shared" si="189"/>
        <v>0</v>
      </c>
      <c r="AB83" s="84">
        <f t="shared" si="189"/>
        <v>0</v>
      </c>
      <c r="AC83" s="84">
        <f t="shared" si="189"/>
        <v>0</v>
      </c>
      <c r="AD83" s="84">
        <f t="shared" si="189"/>
        <v>0</v>
      </c>
      <c r="AE83" s="84">
        <f t="shared" si="189"/>
        <v>0</v>
      </c>
      <c r="AF83" s="84">
        <f t="shared" si="189"/>
        <v>0</v>
      </c>
      <c r="AG83" s="84">
        <f t="shared" si="189"/>
        <v>0</v>
      </c>
      <c r="AH83" s="84">
        <f t="shared" si="189"/>
        <v>0</v>
      </c>
      <c r="AI83" s="84">
        <f t="shared" si="189"/>
        <v>0</v>
      </c>
      <c r="AJ83" s="84">
        <f t="shared" si="189"/>
        <v>0</v>
      </c>
      <c r="AK83" s="593"/>
      <c r="AL83" s="84">
        <f t="shared" ref="AL83:AO83" si="190">AL36*AL$50</f>
        <v>0</v>
      </c>
      <c r="AM83" s="84">
        <f t="shared" si="190"/>
        <v>0</v>
      </c>
      <c r="AN83" s="84">
        <f t="shared" si="190"/>
        <v>0</v>
      </c>
      <c r="AO83" s="84">
        <f t="shared" si="190"/>
        <v>0</v>
      </c>
      <c r="AP83" s="597"/>
      <c r="AQ83" s="332">
        <f t="shared" ref="AQ83:BC83" si="191">AQ36*AQ$50</f>
        <v>0</v>
      </c>
      <c r="AR83" s="332">
        <f t="shared" si="191"/>
        <v>0</v>
      </c>
      <c r="AS83" s="332">
        <f t="shared" si="191"/>
        <v>0</v>
      </c>
      <c r="AT83" s="332">
        <f t="shared" si="191"/>
        <v>0</v>
      </c>
      <c r="AU83" s="332">
        <f t="shared" si="191"/>
        <v>0</v>
      </c>
      <c r="AV83" s="332">
        <f t="shared" si="191"/>
        <v>0</v>
      </c>
      <c r="AW83" s="306">
        <f t="shared" si="191"/>
        <v>0</v>
      </c>
      <c r="AX83" s="306">
        <f t="shared" si="191"/>
        <v>0</v>
      </c>
      <c r="AY83" s="306">
        <f t="shared" si="191"/>
        <v>0</v>
      </c>
      <c r="AZ83" s="306">
        <f t="shared" si="191"/>
        <v>0</v>
      </c>
      <c r="BA83" s="306">
        <f t="shared" si="191"/>
        <v>0</v>
      </c>
      <c r="BB83" s="306">
        <f t="shared" si="191"/>
        <v>0</v>
      </c>
      <c r="BC83" s="306">
        <f t="shared" si="191"/>
        <v>0</v>
      </c>
      <c r="BD83" s="593"/>
      <c r="BE83" s="84">
        <f t="shared" ref="BE83:BH83" si="192">BE36*BE$50</f>
        <v>0</v>
      </c>
      <c r="BF83" s="84">
        <f t="shared" si="192"/>
        <v>0</v>
      </c>
      <c r="BG83" s="84">
        <f t="shared" si="192"/>
        <v>0</v>
      </c>
      <c r="BH83" s="84">
        <f t="shared" si="192"/>
        <v>0</v>
      </c>
      <c r="BI83" s="593"/>
      <c r="BJ83" s="84">
        <f t="shared" ref="BJ83:BW83" si="193">BJ36*BJ$50/60</f>
        <v>0</v>
      </c>
      <c r="BK83" s="84">
        <f t="shared" si="193"/>
        <v>0</v>
      </c>
      <c r="BL83" s="84">
        <f t="shared" si="193"/>
        <v>0</v>
      </c>
      <c r="BM83" s="84">
        <f t="shared" si="193"/>
        <v>0</v>
      </c>
      <c r="BN83" s="84">
        <f t="shared" si="193"/>
        <v>0</v>
      </c>
      <c r="BO83" s="84">
        <f t="shared" si="193"/>
        <v>0</v>
      </c>
      <c r="BP83" s="84">
        <f t="shared" si="193"/>
        <v>0</v>
      </c>
      <c r="BQ83" s="84">
        <f t="shared" si="193"/>
        <v>0</v>
      </c>
      <c r="BR83" s="84">
        <f t="shared" si="193"/>
        <v>0</v>
      </c>
      <c r="BS83" s="84">
        <f t="shared" si="193"/>
        <v>0</v>
      </c>
      <c r="BT83" s="84">
        <f t="shared" si="193"/>
        <v>0</v>
      </c>
      <c r="BU83" s="84">
        <f t="shared" si="193"/>
        <v>0</v>
      </c>
      <c r="BV83" s="84">
        <f t="shared" si="193"/>
        <v>0</v>
      </c>
      <c r="BW83" s="84">
        <f t="shared" si="193"/>
        <v>0</v>
      </c>
      <c r="BX83" s="599"/>
      <c r="BY83" s="100">
        <f t="shared" si="17"/>
        <v>0</v>
      </c>
    </row>
    <row r="84" spans="1:84">
      <c r="A84" s="418">
        <f t="shared" si="67"/>
        <v>34</v>
      </c>
      <c r="B84" s="96" t="str">
        <f t="shared" si="54"/>
        <v>NV34</v>
      </c>
      <c r="C84" s="96" t="str">
        <f t="shared" si="54"/>
        <v>Nguyễn Văn Mèo</v>
      </c>
      <c r="D84" s="96" t="str">
        <f t="shared" si="54"/>
        <v>Công nhân</v>
      </c>
      <c r="E84" s="84">
        <f t="shared" ref="E84:T84" si="194">E37*E$50</f>
        <v>0</v>
      </c>
      <c r="F84" s="84">
        <f t="shared" si="194"/>
        <v>0</v>
      </c>
      <c r="G84" s="84">
        <f t="shared" si="194"/>
        <v>0</v>
      </c>
      <c r="H84" s="84">
        <f t="shared" si="194"/>
        <v>0</v>
      </c>
      <c r="I84" s="84">
        <f t="shared" si="194"/>
        <v>0</v>
      </c>
      <c r="J84" s="84">
        <f t="shared" si="194"/>
        <v>0</v>
      </c>
      <c r="K84" s="84">
        <f t="shared" si="194"/>
        <v>0</v>
      </c>
      <c r="L84" s="84">
        <f t="shared" si="194"/>
        <v>0</v>
      </c>
      <c r="M84" s="84">
        <f t="shared" si="194"/>
        <v>0</v>
      </c>
      <c r="N84" s="84">
        <f t="shared" si="194"/>
        <v>0</v>
      </c>
      <c r="O84" s="84">
        <f t="shared" si="194"/>
        <v>0</v>
      </c>
      <c r="P84" s="84">
        <f t="shared" si="194"/>
        <v>0</v>
      </c>
      <c r="Q84" s="84">
        <f t="shared" si="194"/>
        <v>0</v>
      </c>
      <c r="R84" s="84">
        <f t="shared" si="194"/>
        <v>0</v>
      </c>
      <c r="S84" s="84">
        <f t="shared" si="194"/>
        <v>0</v>
      </c>
      <c r="T84" s="84">
        <f t="shared" si="194"/>
        <v>0</v>
      </c>
      <c r="U84" s="593"/>
      <c r="V84" s="84">
        <f t="shared" ref="V84:AJ84" si="195">V37*V$50</f>
        <v>0</v>
      </c>
      <c r="W84" s="84">
        <f t="shared" si="195"/>
        <v>0</v>
      </c>
      <c r="X84" s="84">
        <f t="shared" si="195"/>
        <v>0</v>
      </c>
      <c r="Y84" s="84">
        <f t="shared" si="195"/>
        <v>0</v>
      </c>
      <c r="Z84" s="84">
        <f t="shared" si="195"/>
        <v>0</v>
      </c>
      <c r="AA84" s="84">
        <f t="shared" si="195"/>
        <v>0</v>
      </c>
      <c r="AB84" s="84">
        <f t="shared" si="195"/>
        <v>0</v>
      </c>
      <c r="AC84" s="84">
        <f t="shared" si="195"/>
        <v>0</v>
      </c>
      <c r="AD84" s="84">
        <f t="shared" si="195"/>
        <v>0</v>
      </c>
      <c r="AE84" s="84">
        <f t="shared" si="195"/>
        <v>0</v>
      </c>
      <c r="AF84" s="84">
        <f t="shared" si="195"/>
        <v>0</v>
      </c>
      <c r="AG84" s="84">
        <f t="shared" si="195"/>
        <v>0</v>
      </c>
      <c r="AH84" s="84">
        <f t="shared" si="195"/>
        <v>0</v>
      </c>
      <c r="AI84" s="84">
        <f t="shared" si="195"/>
        <v>0</v>
      </c>
      <c r="AJ84" s="84">
        <f t="shared" si="195"/>
        <v>0</v>
      </c>
      <c r="AK84" s="593"/>
      <c r="AL84" s="84">
        <f t="shared" ref="AL84:AO84" si="196">AL37*AL$50</f>
        <v>0</v>
      </c>
      <c r="AM84" s="84">
        <f t="shared" si="196"/>
        <v>0</v>
      </c>
      <c r="AN84" s="84">
        <f t="shared" si="196"/>
        <v>0</v>
      </c>
      <c r="AO84" s="84">
        <f t="shared" si="196"/>
        <v>0</v>
      </c>
      <c r="AP84" s="597"/>
      <c r="AQ84" s="332">
        <f t="shared" ref="AQ84:BC84" si="197">AQ37*AQ$50</f>
        <v>0</v>
      </c>
      <c r="AR84" s="332">
        <f t="shared" si="197"/>
        <v>0</v>
      </c>
      <c r="AS84" s="332">
        <f t="shared" si="197"/>
        <v>0</v>
      </c>
      <c r="AT84" s="332">
        <f t="shared" si="197"/>
        <v>0</v>
      </c>
      <c r="AU84" s="332">
        <f t="shared" si="197"/>
        <v>0</v>
      </c>
      <c r="AV84" s="332">
        <f t="shared" si="197"/>
        <v>0</v>
      </c>
      <c r="AW84" s="306">
        <f t="shared" si="197"/>
        <v>0</v>
      </c>
      <c r="AX84" s="306">
        <f t="shared" si="197"/>
        <v>0</v>
      </c>
      <c r="AY84" s="306">
        <f t="shared" si="197"/>
        <v>0</v>
      </c>
      <c r="AZ84" s="306">
        <f t="shared" si="197"/>
        <v>0</v>
      </c>
      <c r="BA84" s="306">
        <f t="shared" si="197"/>
        <v>0</v>
      </c>
      <c r="BB84" s="306">
        <f t="shared" si="197"/>
        <v>0</v>
      </c>
      <c r="BC84" s="306">
        <f t="shared" si="197"/>
        <v>0</v>
      </c>
      <c r="BD84" s="593"/>
      <c r="BE84" s="84">
        <f t="shared" ref="BE84:BH84" si="198">BE37*BE$50</f>
        <v>0</v>
      </c>
      <c r="BF84" s="84">
        <f t="shared" si="198"/>
        <v>0</v>
      </c>
      <c r="BG84" s="84">
        <f t="shared" si="198"/>
        <v>0</v>
      </c>
      <c r="BH84" s="84">
        <f t="shared" si="198"/>
        <v>0</v>
      </c>
      <c r="BI84" s="593"/>
      <c r="BJ84" s="84">
        <f t="shared" ref="BJ84:BW84" si="199">BJ37*BJ$50/60</f>
        <v>0</v>
      </c>
      <c r="BK84" s="84">
        <f t="shared" si="199"/>
        <v>0</v>
      </c>
      <c r="BL84" s="84">
        <f t="shared" si="199"/>
        <v>0</v>
      </c>
      <c r="BM84" s="84">
        <f t="shared" si="199"/>
        <v>0</v>
      </c>
      <c r="BN84" s="84">
        <f t="shared" si="199"/>
        <v>0</v>
      </c>
      <c r="BO84" s="84">
        <f t="shared" si="199"/>
        <v>0</v>
      </c>
      <c r="BP84" s="84">
        <f t="shared" si="199"/>
        <v>0</v>
      </c>
      <c r="BQ84" s="84">
        <f t="shared" si="199"/>
        <v>0</v>
      </c>
      <c r="BR84" s="84">
        <f t="shared" si="199"/>
        <v>0</v>
      </c>
      <c r="BS84" s="84">
        <f t="shared" si="199"/>
        <v>0</v>
      </c>
      <c r="BT84" s="84">
        <f t="shared" si="199"/>
        <v>0</v>
      </c>
      <c r="BU84" s="84">
        <f t="shared" si="199"/>
        <v>0</v>
      </c>
      <c r="BV84" s="84">
        <f t="shared" si="199"/>
        <v>0</v>
      </c>
      <c r="BW84" s="84">
        <f t="shared" si="199"/>
        <v>0</v>
      </c>
      <c r="BX84" s="599"/>
      <c r="BY84" s="100">
        <f t="shared" si="17"/>
        <v>0</v>
      </c>
    </row>
    <row r="85" spans="1:84">
      <c r="A85" s="418">
        <f t="shared" si="67"/>
        <v>35</v>
      </c>
      <c r="B85" s="96" t="str">
        <f t="shared" si="54"/>
        <v>NV35</v>
      </c>
      <c r="C85" s="96" t="str">
        <f t="shared" si="54"/>
        <v>Nguyễn Văn Phụng</v>
      </c>
      <c r="D85" s="96" t="str">
        <f t="shared" si="54"/>
        <v xml:space="preserve">Công nhân </v>
      </c>
      <c r="E85" s="84">
        <f t="shared" ref="E85:T85" si="200">E38*E$50</f>
        <v>0</v>
      </c>
      <c r="F85" s="84">
        <f t="shared" si="200"/>
        <v>0</v>
      </c>
      <c r="G85" s="84">
        <f t="shared" si="200"/>
        <v>0</v>
      </c>
      <c r="H85" s="84">
        <f t="shared" si="200"/>
        <v>0</v>
      </c>
      <c r="I85" s="84">
        <f t="shared" si="200"/>
        <v>0</v>
      </c>
      <c r="J85" s="84">
        <f t="shared" si="200"/>
        <v>0</v>
      </c>
      <c r="K85" s="84">
        <f t="shared" si="200"/>
        <v>0</v>
      </c>
      <c r="L85" s="84">
        <f t="shared" si="200"/>
        <v>0</v>
      </c>
      <c r="M85" s="84">
        <f t="shared" si="200"/>
        <v>0</v>
      </c>
      <c r="N85" s="84">
        <f t="shared" si="200"/>
        <v>0</v>
      </c>
      <c r="O85" s="84">
        <f t="shared" si="200"/>
        <v>0</v>
      </c>
      <c r="P85" s="84">
        <f t="shared" si="200"/>
        <v>0</v>
      </c>
      <c r="Q85" s="84">
        <f t="shared" si="200"/>
        <v>0</v>
      </c>
      <c r="R85" s="84">
        <f t="shared" si="200"/>
        <v>0</v>
      </c>
      <c r="S85" s="84">
        <f t="shared" si="200"/>
        <v>0</v>
      </c>
      <c r="T85" s="84">
        <f t="shared" si="200"/>
        <v>0</v>
      </c>
      <c r="U85" s="593"/>
      <c r="V85" s="84">
        <f t="shared" ref="V85:AJ85" si="201">V38*V$50</f>
        <v>0</v>
      </c>
      <c r="W85" s="84">
        <f t="shared" si="201"/>
        <v>0</v>
      </c>
      <c r="X85" s="84">
        <f t="shared" si="201"/>
        <v>0</v>
      </c>
      <c r="Y85" s="84">
        <f t="shared" si="201"/>
        <v>0</v>
      </c>
      <c r="Z85" s="84">
        <f t="shared" si="201"/>
        <v>0</v>
      </c>
      <c r="AA85" s="84">
        <f t="shared" si="201"/>
        <v>0</v>
      </c>
      <c r="AB85" s="84">
        <f t="shared" si="201"/>
        <v>0</v>
      </c>
      <c r="AC85" s="84">
        <f t="shared" si="201"/>
        <v>0</v>
      </c>
      <c r="AD85" s="84">
        <f t="shared" si="201"/>
        <v>0</v>
      </c>
      <c r="AE85" s="84">
        <f t="shared" si="201"/>
        <v>0</v>
      </c>
      <c r="AF85" s="84">
        <f t="shared" si="201"/>
        <v>0</v>
      </c>
      <c r="AG85" s="84">
        <f t="shared" si="201"/>
        <v>0</v>
      </c>
      <c r="AH85" s="84">
        <f t="shared" si="201"/>
        <v>0</v>
      </c>
      <c r="AI85" s="84">
        <f t="shared" si="201"/>
        <v>0</v>
      </c>
      <c r="AJ85" s="84">
        <f t="shared" si="201"/>
        <v>0</v>
      </c>
      <c r="AK85" s="593"/>
      <c r="AL85" s="84">
        <f t="shared" ref="AL85:AO85" si="202">AL38*AL$50</f>
        <v>0</v>
      </c>
      <c r="AM85" s="84">
        <f t="shared" si="202"/>
        <v>0</v>
      </c>
      <c r="AN85" s="84">
        <f t="shared" si="202"/>
        <v>0</v>
      </c>
      <c r="AO85" s="84">
        <f t="shared" si="202"/>
        <v>0</v>
      </c>
      <c r="AP85" s="597"/>
      <c r="AQ85" s="332">
        <f t="shared" ref="AQ85:BC85" si="203">AQ38*AQ$50</f>
        <v>0</v>
      </c>
      <c r="AR85" s="332">
        <f t="shared" si="203"/>
        <v>0</v>
      </c>
      <c r="AS85" s="332">
        <f t="shared" si="203"/>
        <v>0</v>
      </c>
      <c r="AT85" s="332">
        <f t="shared" si="203"/>
        <v>0</v>
      </c>
      <c r="AU85" s="332">
        <f t="shared" si="203"/>
        <v>0</v>
      </c>
      <c r="AV85" s="332">
        <f t="shared" si="203"/>
        <v>0</v>
      </c>
      <c r="AW85" s="306">
        <f t="shared" si="203"/>
        <v>0</v>
      </c>
      <c r="AX85" s="306">
        <f t="shared" si="203"/>
        <v>0</v>
      </c>
      <c r="AY85" s="306">
        <f t="shared" si="203"/>
        <v>0</v>
      </c>
      <c r="AZ85" s="306">
        <f t="shared" si="203"/>
        <v>0</v>
      </c>
      <c r="BA85" s="306">
        <f t="shared" si="203"/>
        <v>0</v>
      </c>
      <c r="BB85" s="306">
        <f t="shared" si="203"/>
        <v>0</v>
      </c>
      <c r="BC85" s="306">
        <f t="shared" si="203"/>
        <v>0</v>
      </c>
      <c r="BD85" s="593"/>
      <c r="BE85" s="84">
        <f t="shared" ref="BE85:BH85" si="204">BE38*BE$50</f>
        <v>0</v>
      </c>
      <c r="BF85" s="84">
        <f t="shared" si="204"/>
        <v>0</v>
      </c>
      <c r="BG85" s="84">
        <f t="shared" si="204"/>
        <v>0</v>
      </c>
      <c r="BH85" s="84">
        <f t="shared" si="204"/>
        <v>0</v>
      </c>
      <c r="BI85" s="593"/>
      <c r="BJ85" s="84">
        <f t="shared" ref="BJ85:BW85" si="205">BJ38*BJ$50/60</f>
        <v>0</v>
      </c>
      <c r="BK85" s="84">
        <f t="shared" si="205"/>
        <v>0</v>
      </c>
      <c r="BL85" s="84">
        <f t="shared" si="205"/>
        <v>0</v>
      </c>
      <c r="BM85" s="84">
        <f t="shared" si="205"/>
        <v>0</v>
      </c>
      <c r="BN85" s="84">
        <f t="shared" si="205"/>
        <v>0</v>
      </c>
      <c r="BO85" s="84">
        <f t="shared" si="205"/>
        <v>0</v>
      </c>
      <c r="BP85" s="84">
        <f t="shared" si="205"/>
        <v>0</v>
      </c>
      <c r="BQ85" s="84">
        <f t="shared" si="205"/>
        <v>0</v>
      </c>
      <c r="BR85" s="84">
        <f t="shared" si="205"/>
        <v>0</v>
      </c>
      <c r="BS85" s="84">
        <f t="shared" si="205"/>
        <v>0</v>
      </c>
      <c r="BT85" s="84">
        <f t="shared" si="205"/>
        <v>0</v>
      </c>
      <c r="BU85" s="84">
        <f t="shared" si="205"/>
        <v>0</v>
      </c>
      <c r="BV85" s="84">
        <f t="shared" si="205"/>
        <v>0</v>
      </c>
      <c r="BW85" s="84">
        <f t="shared" si="205"/>
        <v>0</v>
      </c>
      <c r="BX85" s="599"/>
      <c r="BY85" s="100">
        <f t="shared" si="17"/>
        <v>0</v>
      </c>
    </row>
    <row r="86" spans="1:84">
      <c r="A86" s="418">
        <f t="shared" si="67"/>
        <v>37</v>
      </c>
      <c r="B86" s="96" t="str">
        <f t="shared" si="54"/>
        <v>NV37</v>
      </c>
      <c r="C86" s="96" t="str">
        <f t="shared" si="54"/>
        <v>Nguyễn Tấn Kiệt</v>
      </c>
      <c r="D86" s="96" t="str">
        <f t="shared" si="54"/>
        <v xml:space="preserve">Công nhân </v>
      </c>
      <c r="E86" s="84">
        <f t="shared" ref="E86:T86" si="206">E39*E$50</f>
        <v>0</v>
      </c>
      <c r="F86" s="84">
        <f t="shared" si="206"/>
        <v>0</v>
      </c>
      <c r="G86" s="84">
        <f t="shared" si="206"/>
        <v>0</v>
      </c>
      <c r="H86" s="84">
        <f t="shared" si="206"/>
        <v>0</v>
      </c>
      <c r="I86" s="84">
        <f t="shared" si="206"/>
        <v>0</v>
      </c>
      <c r="J86" s="84">
        <f t="shared" si="206"/>
        <v>0</v>
      </c>
      <c r="K86" s="84">
        <f t="shared" si="206"/>
        <v>0</v>
      </c>
      <c r="L86" s="84">
        <f t="shared" si="206"/>
        <v>0</v>
      </c>
      <c r="M86" s="84">
        <f t="shared" si="206"/>
        <v>0</v>
      </c>
      <c r="N86" s="84">
        <f t="shared" si="206"/>
        <v>0</v>
      </c>
      <c r="O86" s="84">
        <f t="shared" si="206"/>
        <v>0</v>
      </c>
      <c r="P86" s="84">
        <f t="shared" si="206"/>
        <v>0</v>
      </c>
      <c r="Q86" s="84">
        <f t="shared" si="206"/>
        <v>0</v>
      </c>
      <c r="R86" s="84">
        <f t="shared" si="206"/>
        <v>0</v>
      </c>
      <c r="S86" s="84">
        <f t="shared" si="206"/>
        <v>0</v>
      </c>
      <c r="T86" s="84">
        <f t="shared" si="206"/>
        <v>0</v>
      </c>
      <c r="U86" s="593"/>
      <c r="V86" s="84">
        <f t="shared" ref="V86:AJ86" si="207">V39*V$50</f>
        <v>0</v>
      </c>
      <c r="W86" s="84">
        <f t="shared" si="207"/>
        <v>0</v>
      </c>
      <c r="X86" s="84">
        <f t="shared" si="207"/>
        <v>0</v>
      </c>
      <c r="Y86" s="84">
        <f t="shared" si="207"/>
        <v>0</v>
      </c>
      <c r="Z86" s="84">
        <f t="shared" si="207"/>
        <v>0</v>
      </c>
      <c r="AA86" s="84">
        <f t="shared" si="207"/>
        <v>0</v>
      </c>
      <c r="AB86" s="84">
        <f t="shared" si="207"/>
        <v>0</v>
      </c>
      <c r="AC86" s="84">
        <f t="shared" si="207"/>
        <v>0</v>
      </c>
      <c r="AD86" s="84">
        <f t="shared" si="207"/>
        <v>0</v>
      </c>
      <c r="AE86" s="84">
        <f t="shared" si="207"/>
        <v>0</v>
      </c>
      <c r="AF86" s="84">
        <f t="shared" si="207"/>
        <v>0</v>
      </c>
      <c r="AG86" s="84">
        <f t="shared" si="207"/>
        <v>0</v>
      </c>
      <c r="AH86" s="84">
        <f t="shared" si="207"/>
        <v>0</v>
      </c>
      <c r="AI86" s="84">
        <f t="shared" si="207"/>
        <v>0</v>
      </c>
      <c r="AJ86" s="84">
        <f t="shared" si="207"/>
        <v>0</v>
      </c>
      <c r="AK86" s="593"/>
      <c r="AL86" s="84">
        <f t="shared" ref="AL86:AO86" si="208">AL39*AL$50</f>
        <v>0</v>
      </c>
      <c r="AM86" s="84">
        <f t="shared" si="208"/>
        <v>0</v>
      </c>
      <c r="AN86" s="84">
        <f t="shared" si="208"/>
        <v>0</v>
      </c>
      <c r="AO86" s="84">
        <f t="shared" si="208"/>
        <v>0</v>
      </c>
      <c r="AP86" s="597"/>
      <c r="AQ86" s="332">
        <f t="shared" ref="AQ86:BC86" si="209">AQ39*AQ$50</f>
        <v>0</v>
      </c>
      <c r="AR86" s="332">
        <f t="shared" si="209"/>
        <v>0</v>
      </c>
      <c r="AS86" s="332">
        <f t="shared" si="209"/>
        <v>0</v>
      </c>
      <c r="AT86" s="332">
        <f t="shared" si="209"/>
        <v>0</v>
      </c>
      <c r="AU86" s="332">
        <f t="shared" si="209"/>
        <v>0</v>
      </c>
      <c r="AV86" s="332">
        <f t="shared" si="209"/>
        <v>0</v>
      </c>
      <c r="AW86" s="306">
        <f t="shared" si="209"/>
        <v>0</v>
      </c>
      <c r="AX86" s="306">
        <f t="shared" si="209"/>
        <v>0</v>
      </c>
      <c r="AY86" s="306">
        <f t="shared" si="209"/>
        <v>0</v>
      </c>
      <c r="AZ86" s="306">
        <f t="shared" si="209"/>
        <v>0</v>
      </c>
      <c r="BA86" s="306">
        <f t="shared" si="209"/>
        <v>0</v>
      </c>
      <c r="BB86" s="306">
        <f t="shared" si="209"/>
        <v>0</v>
      </c>
      <c r="BC86" s="306">
        <f t="shared" si="209"/>
        <v>0</v>
      </c>
      <c r="BD86" s="593"/>
      <c r="BE86" s="84">
        <f t="shared" ref="BE86:BH86" si="210">BE39*BE$50</f>
        <v>0</v>
      </c>
      <c r="BF86" s="84">
        <f t="shared" si="210"/>
        <v>0</v>
      </c>
      <c r="BG86" s="84">
        <f t="shared" si="210"/>
        <v>0</v>
      </c>
      <c r="BH86" s="84">
        <f t="shared" si="210"/>
        <v>0</v>
      </c>
      <c r="BI86" s="593"/>
      <c r="BJ86" s="84">
        <f t="shared" ref="BJ86:BW86" si="211">BJ39*BJ$50/60</f>
        <v>0</v>
      </c>
      <c r="BK86" s="84">
        <f t="shared" si="211"/>
        <v>0</v>
      </c>
      <c r="BL86" s="84">
        <f t="shared" si="211"/>
        <v>0</v>
      </c>
      <c r="BM86" s="84">
        <f t="shared" si="211"/>
        <v>0</v>
      </c>
      <c r="BN86" s="84">
        <f t="shared" si="211"/>
        <v>0</v>
      </c>
      <c r="BO86" s="84">
        <f t="shared" si="211"/>
        <v>0</v>
      </c>
      <c r="BP86" s="84">
        <f t="shared" si="211"/>
        <v>0</v>
      </c>
      <c r="BQ86" s="84">
        <f t="shared" si="211"/>
        <v>0</v>
      </c>
      <c r="BR86" s="84">
        <f t="shared" si="211"/>
        <v>0</v>
      </c>
      <c r="BS86" s="84">
        <f t="shared" si="211"/>
        <v>0</v>
      </c>
      <c r="BT86" s="84">
        <f t="shared" si="211"/>
        <v>0</v>
      </c>
      <c r="BU86" s="84">
        <f t="shared" si="211"/>
        <v>0</v>
      </c>
      <c r="BV86" s="84">
        <f t="shared" si="211"/>
        <v>0</v>
      </c>
      <c r="BW86" s="84">
        <f t="shared" si="211"/>
        <v>0</v>
      </c>
      <c r="BX86" s="599"/>
      <c r="BY86" s="100">
        <f t="shared" si="17"/>
        <v>0</v>
      </c>
    </row>
    <row r="87" spans="1:84">
      <c r="A87" s="418">
        <f t="shared" si="67"/>
        <v>39</v>
      </c>
      <c r="B87" s="96" t="str">
        <f t="shared" si="54"/>
        <v>NV39</v>
      </c>
      <c r="C87" s="96" t="str">
        <f t="shared" si="54"/>
        <v>Lê Ngọc Đức</v>
      </c>
      <c r="D87" s="96" t="str">
        <f t="shared" si="54"/>
        <v xml:space="preserve">Công nhân </v>
      </c>
      <c r="E87" s="84">
        <f t="shared" ref="E87:T87" si="212">E40*E$50</f>
        <v>0</v>
      </c>
      <c r="F87" s="84">
        <f t="shared" si="212"/>
        <v>0</v>
      </c>
      <c r="G87" s="84">
        <f t="shared" si="212"/>
        <v>0</v>
      </c>
      <c r="H87" s="84">
        <f t="shared" si="212"/>
        <v>0</v>
      </c>
      <c r="I87" s="84">
        <f t="shared" si="212"/>
        <v>0</v>
      </c>
      <c r="J87" s="84">
        <f t="shared" si="212"/>
        <v>0</v>
      </c>
      <c r="K87" s="84">
        <f t="shared" si="212"/>
        <v>0</v>
      </c>
      <c r="L87" s="84">
        <f t="shared" si="212"/>
        <v>0</v>
      </c>
      <c r="M87" s="84">
        <f t="shared" si="212"/>
        <v>0</v>
      </c>
      <c r="N87" s="84">
        <f t="shared" si="212"/>
        <v>0</v>
      </c>
      <c r="O87" s="84">
        <f t="shared" si="212"/>
        <v>0</v>
      </c>
      <c r="P87" s="84">
        <f t="shared" si="212"/>
        <v>0</v>
      </c>
      <c r="Q87" s="84">
        <f t="shared" si="212"/>
        <v>0</v>
      </c>
      <c r="R87" s="84">
        <f t="shared" si="212"/>
        <v>0</v>
      </c>
      <c r="S87" s="84">
        <f t="shared" si="212"/>
        <v>0</v>
      </c>
      <c r="T87" s="84">
        <f t="shared" si="212"/>
        <v>0</v>
      </c>
      <c r="U87" s="593"/>
      <c r="V87" s="84">
        <f t="shared" ref="V87:AJ87" si="213">V40*V$50</f>
        <v>0</v>
      </c>
      <c r="W87" s="84">
        <f t="shared" si="213"/>
        <v>0</v>
      </c>
      <c r="X87" s="84">
        <f t="shared" si="213"/>
        <v>0</v>
      </c>
      <c r="Y87" s="84">
        <f t="shared" si="213"/>
        <v>0</v>
      </c>
      <c r="Z87" s="84">
        <f t="shared" si="213"/>
        <v>0</v>
      </c>
      <c r="AA87" s="84">
        <f t="shared" si="213"/>
        <v>0</v>
      </c>
      <c r="AB87" s="84">
        <f t="shared" si="213"/>
        <v>0</v>
      </c>
      <c r="AC87" s="84">
        <f t="shared" si="213"/>
        <v>0</v>
      </c>
      <c r="AD87" s="84">
        <f t="shared" si="213"/>
        <v>0</v>
      </c>
      <c r="AE87" s="84">
        <f t="shared" si="213"/>
        <v>0</v>
      </c>
      <c r="AF87" s="84">
        <f t="shared" si="213"/>
        <v>0</v>
      </c>
      <c r="AG87" s="84">
        <f t="shared" si="213"/>
        <v>0</v>
      </c>
      <c r="AH87" s="84">
        <f t="shared" si="213"/>
        <v>0</v>
      </c>
      <c r="AI87" s="84">
        <f t="shared" si="213"/>
        <v>0</v>
      </c>
      <c r="AJ87" s="84">
        <f t="shared" si="213"/>
        <v>0</v>
      </c>
      <c r="AK87" s="593"/>
      <c r="AL87" s="84">
        <f t="shared" ref="AL87:AO87" si="214">AL40*AL$50</f>
        <v>0</v>
      </c>
      <c r="AM87" s="84">
        <f t="shared" si="214"/>
        <v>0</v>
      </c>
      <c r="AN87" s="84">
        <f t="shared" si="214"/>
        <v>0</v>
      </c>
      <c r="AO87" s="84">
        <f t="shared" si="214"/>
        <v>0</v>
      </c>
      <c r="AP87" s="597"/>
      <c r="AQ87" s="332">
        <f t="shared" ref="AQ87:BC87" si="215">AQ40*AQ$50</f>
        <v>0</v>
      </c>
      <c r="AR87" s="332">
        <f t="shared" si="215"/>
        <v>0</v>
      </c>
      <c r="AS87" s="332">
        <f t="shared" si="215"/>
        <v>0</v>
      </c>
      <c r="AT87" s="332">
        <f t="shared" si="215"/>
        <v>0</v>
      </c>
      <c r="AU87" s="332">
        <f t="shared" si="215"/>
        <v>0</v>
      </c>
      <c r="AV87" s="332">
        <f t="shared" si="215"/>
        <v>0</v>
      </c>
      <c r="AW87" s="306">
        <f t="shared" si="215"/>
        <v>0</v>
      </c>
      <c r="AX87" s="306">
        <f t="shared" si="215"/>
        <v>0</v>
      </c>
      <c r="AY87" s="306">
        <f t="shared" si="215"/>
        <v>0</v>
      </c>
      <c r="AZ87" s="306">
        <f t="shared" si="215"/>
        <v>0</v>
      </c>
      <c r="BA87" s="306">
        <f t="shared" si="215"/>
        <v>0</v>
      </c>
      <c r="BB87" s="306">
        <f t="shared" si="215"/>
        <v>0</v>
      </c>
      <c r="BC87" s="306">
        <f t="shared" si="215"/>
        <v>0</v>
      </c>
      <c r="BD87" s="593"/>
      <c r="BE87" s="84">
        <f t="shared" ref="BE87:BH87" si="216">BE40*BE$50</f>
        <v>0</v>
      </c>
      <c r="BF87" s="84">
        <f t="shared" si="216"/>
        <v>0</v>
      </c>
      <c r="BG87" s="84">
        <f t="shared" si="216"/>
        <v>0</v>
      </c>
      <c r="BH87" s="84">
        <f t="shared" si="216"/>
        <v>0</v>
      </c>
      <c r="BI87" s="593"/>
      <c r="BJ87" s="84">
        <f t="shared" ref="BJ87:BW87" si="217">BJ40*BJ$50/60</f>
        <v>0</v>
      </c>
      <c r="BK87" s="84">
        <f t="shared" si="217"/>
        <v>0</v>
      </c>
      <c r="BL87" s="84">
        <f t="shared" si="217"/>
        <v>0</v>
      </c>
      <c r="BM87" s="84">
        <f t="shared" si="217"/>
        <v>0</v>
      </c>
      <c r="BN87" s="84">
        <f t="shared" si="217"/>
        <v>0</v>
      </c>
      <c r="BO87" s="84">
        <f t="shared" si="217"/>
        <v>0</v>
      </c>
      <c r="BP87" s="84">
        <f t="shared" si="217"/>
        <v>0</v>
      </c>
      <c r="BQ87" s="84">
        <f t="shared" si="217"/>
        <v>0</v>
      </c>
      <c r="BR87" s="84">
        <f t="shared" si="217"/>
        <v>0</v>
      </c>
      <c r="BS87" s="84">
        <f t="shared" si="217"/>
        <v>0</v>
      </c>
      <c r="BT87" s="84">
        <f t="shared" si="217"/>
        <v>0</v>
      </c>
      <c r="BU87" s="84">
        <f t="shared" si="217"/>
        <v>0</v>
      </c>
      <c r="BV87" s="84">
        <f t="shared" si="217"/>
        <v>0</v>
      </c>
      <c r="BW87" s="84">
        <f t="shared" si="217"/>
        <v>0</v>
      </c>
      <c r="BX87" s="599"/>
      <c r="BY87" s="100">
        <f t="shared" si="17"/>
        <v>0</v>
      </c>
    </row>
    <row r="88" spans="1:84">
      <c r="A88" s="418">
        <f t="shared" si="67"/>
        <v>41</v>
      </c>
      <c r="B88" s="96" t="str">
        <f t="shared" si="54"/>
        <v>NV41</v>
      </c>
      <c r="C88" s="96" t="str">
        <f t="shared" si="54"/>
        <v>Bùi Văn Ây</v>
      </c>
      <c r="D88" s="96" t="str">
        <f t="shared" si="54"/>
        <v xml:space="preserve">Công nhân </v>
      </c>
      <c r="E88" s="84">
        <f t="shared" ref="E88:T88" si="218">E41*E$50</f>
        <v>0</v>
      </c>
      <c r="F88" s="84">
        <f t="shared" si="218"/>
        <v>0</v>
      </c>
      <c r="G88" s="84">
        <f t="shared" si="218"/>
        <v>0</v>
      </c>
      <c r="H88" s="84">
        <f t="shared" si="218"/>
        <v>0</v>
      </c>
      <c r="I88" s="84">
        <f t="shared" si="218"/>
        <v>0</v>
      </c>
      <c r="J88" s="84">
        <f t="shared" si="218"/>
        <v>0</v>
      </c>
      <c r="K88" s="84">
        <f t="shared" si="218"/>
        <v>0</v>
      </c>
      <c r="L88" s="84">
        <f t="shared" si="218"/>
        <v>0</v>
      </c>
      <c r="M88" s="84">
        <f t="shared" si="218"/>
        <v>0</v>
      </c>
      <c r="N88" s="84">
        <f t="shared" si="218"/>
        <v>0</v>
      </c>
      <c r="O88" s="84">
        <f t="shared" si="218"/>
        <v>0</v>
      </c>
      <c r="P88" s="84">
        <f t="shared" si="218"/>
        <v>0</v>
      </c>
      <c r="Q88" s="84">
        <f t="shared" si="218"/>
        <v>0</v>
      </c>
      <c r="R88" s="84">
        <f t="shared" si="218"/>
        <v>0</v>
      </c>
      <c r="S88" s="84">
        <f t="shared" si="218"/>
        <v>0</v>
      </c>
      <c r="T88" s="84">
        <f t="shared" si="218"/>
        <v>0</v>
      </c>
      <c r="U88" s="593"/>
      <c r="V88" s="84">
        <f t="shared" ref="V88:AJ88" si="219">V41*V$50</f>
        <v>0</v>
      </c>
      <c r="W88" s="84">
        <f t="shared" si="219"/>
        <v>0</v>
      </c>
      <c r="X88" s="84">
        <f t="shared" si="219"/>
        <v>0</v>
      </c>
      <c r="Y88" s="84">
        <f t="shared" si="219"/>
        <v>0</v>
      </c>
      <c r="Z88" s="84">
        <f t="shared" si="219"/>
        <v>0</v>
      </c>
      <c r="AA88" s="84">
        <f t="shared" si="219"/>
        <v>0</v>
      </c>
      <c r="AB88" s="84">
        <f t="shared" si="219"/>
        <v>0</v>
      </c>
      <c r="AC88" s="84">
        <f t="shared" si="219"/>
        <v>0</v>
      </c>
      <c r="AD88" s="84">
        <f t="shared" si="219"/>
        <v>0</v>
      </c>
      <c r="AE88" s="84">
        <f t="shared" si="219"/>
        <v>0</v>
      </c>
      <c r="AF88" s="84">
        <f t="shared" si="219"/>
        <v>0</v>
      </c>
      <c r="AG88" s="84">
        <f t="shared" si="219"/>
        <v>0</v>
      </c>
      <c r="AH88" s="84">
        <f t="shared" si="219"/>
        <v>0</v>
      </c>
      <c r="AI88" s="84">
        <f t="shared" si="219"/>
        <v>0</v>
      </c>
      <c r="AJ88" s="84">
        <f t="shared" si="219"/>
        <v>0</v>
      </c>
      <c r="AK88" s="593"/>
      <c r="AL88" s="84">
        <f t="shared" ref="AL88:AO88" si="220">AL41*AL$50</f>
        <v>0</v>
      </c>
      <c r="AM88" s="84">
        <f t="shared" si="220"/>
        <v>0</v>
      </c>
      <c r="AN88" s="84">
        <f t="shared" si="220"/>
        <v>0</v>
      </c>
      <c r="AO88" s="84">
        <f t="shared" si="220"/>
        <v>0</v>
      </c>
      <c r="AP88" s="597"/>
      <c r="AQ88" s="332">
        <f t="shared" ref="AQ88:BC88" si="221">AQ41*AQ$50</f>
        <v>0</v>
      </c>
      <c r="AR88" s="332">
        <f t="shared" si="221"/>
        <v>0</v>
      </c>
      <c r="AS88" s="332">
        <f t="shared" si="221"/>
        <v>0</v>
      </c>
      <c r="AT88" s="332">
        <f t="shared" si="221"/>
        <v>0</v>
      </c>
      <c r="AU88" s="332">
        <f t="shared" si="221"/>
        <v>0</v>
      </c>
      <c r="AV88" s="332">
        <f t="shared" si="221"/>
        <v>0</v>
      </c>
      <c r="AW88" s="306">
        <f t="shared" si="221"/>
        <v>0</v>
      </c>
      <c r="AX88" s="306">
        <f t="shared" si="221"/>
        <v>0</v>
      </c>
      <c r="AY88" s="306">
        <f t="shared" si="221"/>
        <v>0</v>
      </c>
      <c r="AZ88" s="306">
        <f t="shared" si="221"/>
        <v>0</v>
      </c>
      <c r="BA88" s="306">
        <f t="shared" si="221"/>
        <v>0</v>
      </c>
      <c r="BB88" s="306">
        <f t="shared" si="221"/>
        <v>0</v>
      </c>
      <c r="BC88" s="306">
        <f t="shared" si="221"/>
        <v>0</v>
      </c>
      <c r="BD88" s="593"/>
      <c r="BE88" s="84">
        <f t="shared" ref="BE88:BH88" si="222">BE41*BE$50</f>
        <v>0</v>
      </c>
      <c r="BF88" s="84">
        <f t="shared" si="222"/>
        <v>0</v>
      </c>
      <c r="BG88" s="84">
        <f t="shared" si="222"/>
        <v>0</v>
      </c>
      <c r="BH88" s="84">
        <f t="shared" si="222"/>
        <v>0</v>
      </c>
      <c r="BI88" s="593"/>
      <c r="BJ88" s="84">
        <f t="shared" ref="BJ88:BW88" si="223">BJ41*BJ$50/60</f>
        <v>0</v>
      </c>
      <c r="BK88" s="84">
        <f t="shared" si="223"/>
        <v>0</v>
      </c>
      <c r="BL88" s="84">
        <f t="shared" si="223"/>
        <v>0</v>
      </c>
      <c r="BM88" s="84">
        <f t="shared" si="223"/>
        <v>0</v>
      </c>
      <c r="BN88" s="84">
        <f t="shared" si="223"/>
        <v>0</v>
      </c>
      <c r="BO88" s="84">
        <f t="shared" si="223"/>
        <v>0</v>
      </c>
      <c r="BP88" s="84">
        <f t="shared" si="223"/>
        <v>0</v>
      </c>
      <c r="BQ88" s="84">
        <f t="shared" si="223"/>
        <v>0</v>
      </c>
      <c r="BR88" s="84">
        <f t="shared" si="223"/>
        <v>0</v>
      </c>
      <c r="BS88" s="84">
        <f t="shared" si="223"/>
        <v>0</v>
      </c>
      <c r="BT88" s="84">
        <f t="shared" si="223"/>
        <v>0</v>
      </c>
      <c r="BU88" s="84">
        <f t="shared" si="223"/>
        <v>0</v>
      </c>
      <c r="BV88" s="84">
        <f t="shared" si="223"/>
        <v>0</v>
      </c>
      <c r="BW88" s="84">
        <f t="shared" si="223"/>
        <v>0</v>
      </c>
      <c r="BX88" s="599"/>
      <c r="BY88" s="100">
        <f t="shared" si="17"/>
        <v>0</v>
      </c>
    </row>
    <row r="89" spans="1:84">
      <c r="A89" s="418"/>
      <c r="B89" s="96" t="str">
        <f t="shared" si="54"/>
        <v>NV45</v>
      </c>
      <c r="C89" s="96" t="str">
        <f t="shared" si="54"/>
        <v>Đặng Hải Bằng</v>
      </c>
      <c r="D89" s="96" t="str">
        <f t="shared" si="54"/>
        <v xml:space="preserve">Công nhân </v>
      </c>
      <c r="E89" s="84">
        <f t="shared" ref="E89:T89" si="224">E42*E$50</f>
        <v>0</v>
      </c>
      <c r="F89" s="84">
        <f t="shared" si="224"/>
        <v>0</v>
      </c>
      <c r="G89" s="84">
        <f t="shared" si="224"/>
        <v>0</v>
      </c>
      <c r="H89" s="84">
        <f t="shared" si="224"/>
        <v>0</v>
      </c>
      <c r="I89" s="84">
        <f t="shared" si="224"/>
        <v>0</v>
      </c>
      <c r="J89" s="84">
        <f t="shared" si="224"/>
        <v>0</v>
      </c>
      <c r="K89" s="84">
        <f t="shared" si="224"/>
        <v>0</v>
      </c>
      <c r="L89" s="84">
        <f t="shared" si="224"/>
        <v>0</v>
      </c>
      <c r="M89" s="84">
        <f t="shared" si="224"/>
        <v>0</v>
      </c>
      <c r="N89" s="84">
        <f t="shared" si="224"/>
        <v>0</v>
      </c>
      <c r="O89" s="84">
        <f t="shared" si="224"/>
        <v>0</v>
      </c>
      <c r="P89" s="84">
        <f t="shared" si="224"/>
        <v>0</v>
      </c>
      <c r="Q89" s="84">
        <f t="shared" si="224"/>
        <v>0</v>
      </c>
      <c r="R89" s="84">
        <f t="shared" si="224"/>
        <v>0</v>
      </c>
      <c r="S89" s="84">
        <f t="shared" si="224"/>
        <v>0</v>
      </c>
      <c r="T89" s="84">
        <f t="shared" si="224"/>
        <v>0</v>
      </c>
      <c r="U89" s="593"/>
      <c r="V89" s="84">
        <f t="shared" ref="V89:AJ89" si="225">V42*V$50</f>
        <v>0</v>
      </c>
      <c r="W89" s="84">
        <f t="shared" si="225"/>
        <v>0</v>
      </c>
      <c r="X89" s="84">
        <f t="shared" si="225"/>
        <v>0</v>
      </c>
      <c r="Y89" s="84">
        <f t="shared" si="225"/>
        <v>0</v>
      </c>
      <c r="Z89" s="84">
        <f t="shared" si="225"/>
        <v>0</v>
      </c>
      <c r="AA89" s="84">
        <f t="shared" si="225"/>
        <v>0</v>
      </c>
      <c r="AB89" s="84">
        <f t="shared" si="225"/>
        <v>0</v>
      </c>
      <c r="AC89" s="84">
        <f t="shared" si="225"/>
        <v>0</v>
      </c>
      <c r="AD89" s="84">
        <f t="shared" si="225"/>
        <v>0</v>
      </c>
      <c r="AE89" s="84">
        <f t="shared" si="225"/>
        <v>0</v>
      </c>
      <c r="AF89" s="84">
        <f t="shared" si="225"/>
        <v>0</v>
      </c>
      <c r="AG89" s="84">
        <f t="shared" si="225"/>
        <v>0</v>
      </c>
      <c r="AH89" s="84">
        <f t="shared" si="225"/>
        <v>0</v>
      </c>
      <c r="AI89" s="84">
        <f t="shared" si="225"/>
        <v>0</v>
      </c>
      <c r="AJ89" s="84">
        <f t="shared" si="225"/>
        <v>0</v>
      </c>
      <c r="AK89" s="593"/>
      <c r="AL89" s="84">
        <f t="shared" ref="AL89:AO89" si="226">AL42*AL$50</f>
        <v>0</v>
      </c>
      <c r="AM89" s="84">
        <f t="shared" si="226"/>
        <v>0</v>
      </c>
      <c r="AN89" s="84">
        <f t="shared" si="226"/>
        <v>0</v>
      </c>
      <c r="AO89" s="84">
        <f t="shared" si="226"/>
        <v>0</v>
      </c>
      <c r="AP89" s="597"/>
      <c r="AQ89" s="332">
        <f t="shared" ref="AQ89:BC89" si="227">AQ42*AQ$50</f>
        <v>0</v>
      </c>
      <c r="AR89" s="332">
        <f t="shared" si="227"/>
        <v>0</v>
      </c>
      <c r="AS89" s="332">
        <f t="shared" si="227"/>
        <v>0</v>
      </c>
      <c r="AT89" s="332">
        <f t="shared" si="227"/>
        <v>0</v>
      </c>
      <c r="AU89" s="332">
        <f t="shared" si="227"/>
        <v>0</v>
      </c>
      <c r="AV89" s="332">
        <f t="shared" si="227"/>
        <v>0</v>
      </c>
      <c r="AW89" s="306">
        <f t="shared" si="227"/>
        <v>0</v>
      </c>
      <c r="AX89" s="306">
        <f t="shared" si="227"/>
        <v>0</v>
      </c>
      <c r="AY89" s="306">
        <f t="shared" si="227"/>
        <v>0</v>
      </c>
      <c r="AZ89" s="306">
        <f t="shared" si="227"/>
        <v>0</v>
      </c>
      <c r="BA89" s="306">
        <f t="shared" si="227"/>
        <v>0</v>
      </c>
      <c r="BB89" s="306">
        <f t="shared" si="227"/>
        <v>0</v>
      </c>
      <c r="BC89" s="306">
        <f t="shared" si="227"/>
        <v>0</v>
      </c>
      <c r="BD89" s="593"/>
      <c r="BE89" s="84">
        <f t="shared" ref="BE89:BH89" si="228">BE42*BE$50</f>
        <v>0</v>
      </c>
      <c r="BF89" s="84">
        <f t="shared" si="228"/>
        <v>0</v>
      </c>
      <c r="BG89" s="84">
        <f t="shared" si="228"/>
        <v>0</v>
      </c>
      <c r="BH89" s="84">
        <f t="shared" si="228"/>
        <v>0</v>
      </c>
      <c r="BI89" s="593"/>
      <c r="BJ89" s="84">
        <f t="shared" ref="BJ89:BW89" si="229">BJ42*BJ$50/60</f>
        <v>0</v>
      </c>
      <c r="BK89" s="84">
        <f t="shared" si="229"/>
        <v>0</v>
      </c>
      <c r="BL89" s="84">
        <f t="shared" si="229"/>
        <v>0</v>
      </c>
      <c r="BM89" s="84">
        <f t="shared" si="229"/>
        <v>0</v>
      </c>
      <c r="BN89" s="84">
        <f t="shared" si="229"/>
        <v>0</v>
      </c>
      <c r="BO89" s="84">
        <f t="shared" si="229"/>
        <v>0</v>
      </c>
      <c r="BP89" s="84">
        <f t="shared" si="229"/>
        <v>0</v>
      </c>
      <c r="BQ89" s="84">
        <f t="shared" si="229"/>
        <v>0</v>
      </c>
      <c r="BR89" s="84">
        <f t="shared" si="229"/>
        <v>0</v>
      </c>
      <c r="BS89" s="84">
        <f t="shared" si="229"/>
        <v>0</v>
      </c>
      <c r="BT89" s="84">
        <f t="shared" si="229"/>
        <v>0</v>
      </c>
      <c r="BU89" s="84">
        <f t="shared" si="229"/>
        <v>0</v>
      </c>
      <c r="BV89" s="84">
        <f t="shared" si="229"/>
        <v>0</v>
      </c>
      <c r="BW89" s="84">
        <f t="shared" si="229"/>
        <v>0</v>
      </c>
      <c r="BX89" s="599"/>
      <c r="BY89" s="100">
        <f t="shared" si="17"/>
        <v>0</v>
      </c>
    </row>
    <row r="90" spans="1:84">
      <c r="A90" s="418"/>
      <c r="B90" s="96" t="str">
        <f t="shared" ref="B90:D91" si="230">B43</f>
        <v>NV49</v>
      </c>
      <c r="C90" s="96" t="str">
        <f t="shared" si="230"/>
        <v>Nguyễn Đình Tâm</v>
      </c>
      <c r="D90" s="96" t="str">
        <f t="shared" si="230"/>
        <v xml:space="preserve">Công nhân </v>
      </c>
      <c r="E90" s="84">
        <f t="shared" ref="E90:T91" si="231">E43*E$50</f>
        <v>0</v>
      </c>
      <c r="F90" s="84">
        <f t="shared" si="231"/>
        <v>0</v>
      </c>
      <c r="G90" s="84">
        <f t="shared" si="231"/>
        <v>0</v>
      </c>
      <c r="H90" s="84">
        <f t="shared" si="231"/>
        <v>0</v>
      </c>
      <c r="I90" s="84">
        <f t="shared" si="231"/>
        <v>0</v>
      </c>
      <c r="J90" s="84">
        <f t="shared" si="231"/>
        <v>0</v>
      </c>
      <c r="K90" s="84">
        <f t="shared" si="231"/>
        <v>0</v>
      </c>
      <c r="L90" s="84">
        <f t="shared" si="231"/>
        <v>0</v>
      </c>
      <c r="M90" s="84">
        <f t="shared" si="231"/>
        <v>0</v>
      </c>
      <c r="N90" s="84">
        <f t="shared" si="231"/>
        <v>0</v>
      </c>
      <c r="O90" s="84">
        <f t="shared" si="231"/>
        <v>0</v>
      </c>
      <c r="P90" s="84">
        <f t="shared" si="231"/>
        <v>0</v>
      </c>
      <c r="Q90" s="84">
        <f t="shared" si="231"/>
        <v>0</v>
      </c>
      <c r="R90" s="84">
        <f t="shared" si="231"/>
        <v>0</v>
      </c>
      <c r="S90" s="84">
        <f t="shared" si="231"/>
        <v>0</v>
      </c>
      <c r="T90" s="84">
        <f t="shared" si="231"/>
        <v>0</v>
      </c>
      <c r="U90" s="593"/>
      <c r="V90" s="84">
        <f t="shared" ref="V90:AJ91" si="232">V43*V$50</f>
        <v>0</v>
      </c>
      <c r="W90" s="84">
        <f t="shared" si="232"/>
        <v>0</v>
      </c>
      <c r="X90" s="84">
        <f t="shared" si="232"/>
        <v>0</v>
      </c>
      <c r="Y90" s="84">
        <f t="shared" si="232"/>
        <v>0</v>
      </c>
      <c r="Z90" s="84">
        <f t="shared" si="232"/>
        <v>0</v>
      </c>
      <c r="AA90" s="84">
        <f t="shared" si="232"/>
        <v>0</v>
      </c>
      <c r="AB90" s="84">
        <f t="shared" si="232"/>
        <v>0</v>
      </c>
      <c r="AC90" s="84">
        <f t="shared" si="232"/>
        <v>0</v>
      </c>
      <c r="AD90" s="84">
        <f t="shared" si="232"/>
        <v>0</v>
      </c>
      <c r="AE90" s="84">
        <f t="shared" si="232"/>
        <v>0</v>
      </c>
      <c r="AF90" s="84">
        <f t="shared" si="232"/>
        <v>0</v>
      </c>
      <c r="AG90" s="84">
        <f t="shared" si="232"/>
        <v>0</v>
      </c>
      <c r="AH90" s="84">
        <f t="shared" si="232"/>
        <v>0</v>
      </c>
      <c r="AI90" s="84">
        <f t="shared" si="232"/>
        <v>0</v>
      </c>
      <c r="AJ90" s="84">
        <f t="shared" si="232"/>
        <v>0</v>
      </c>
      <c r="AK90" s="593"/>
      <c r="AL90" s="84">
        <f t="shared" ref="AL90:AO91" si="233">AL43*AL$50</f>
        <v>0</v>
      </c>
      <c r="AM90" s="84">
        <f t="shared" si="233"/>
        <v>0</v>
      </c>
      <c r="AN90" s="84">
        <f t="shared" si="233"/>
        <v>0</v>
      </c>
      <c r="AO90" s="84">
        <f t="shared" si="233"/>
        <v>0</v>
      </c>
      <c r="AP90" s="597"/>
      <c r="AQ90" s="332">
        <f t="shared" ref="AQ90:BC91" si="234">AQ43*AQ$50</f>
        <v>0</v>
      </c>
      <c r="AR90" s="332">
        <f t="shared" si="234"/>
        <v>0</v>
      </c>
      <c r="AS90" s="332">
        <f t="shared" si="234"/>
        <v>0</v>
      </c>
      <c r="AT90" s="332">
        <f t="shared" si="234"/>
        <v>0</v>
      </c>
      <c r="AU90" s="332">
        <f t="shared" si="234"/>
        <v>0</v>
      </c>
      <c r="AV90" s="332">
        <f t="shared" si="234"/>
        <v>0</v>
      </c>
      <c r="AW90" s="306">
        <f t="shared" si="234"/>
        <v>0</v>
      </c>
      <c r="AX90" s="306">
        <f t="shared" si="234"/>
        <v>0</v>
      </c>
      <c r="AY90" s="306">
        <f t="shared" si="234"/>
        <v>0</v>
      </c>
      <c r="AZ90" s="306">
        <f t="shared" si="234"/>
        <v>0</v>
      </c>
      <c r="BA90" s="306">
        <f t="shared" si="234"/>
        <v>0</v>
      </c>
      <c r="BB90" s="306">
        <f t="shared" si="234"/>
        <v>0</v>
      </c>
      <c r="BC90" s="306">
        <f t="shared" si="234"/>
        <v>0</v>
      </c>
      <c r="BD90" s="593"/>
      <c r="BE90" s="84">
        <f t="shared" ref="BE90:BH91" si="235">BE43*BE$50</f>
        <v>0</v>
      </c>
      <c r="BF90" s="84">
        <f t="shared" si="235"/>
        <v>0</v>
      </c>
      <c r="BG90" s="84">
        <f t="shared" si="235"/>
        <v>0</v>
      </c>
      <c r="BH90" s="84">
        <f t="shared" si="235"/>
        <v>0</v>
      </c>
      <c r="BI90" s="593"/>
      <c r="BJ90" s="84">
        <f t="shared" ref="BJ90:BW91" si="236">BJ43*BJ$50/60</f>
        <v>0</v>
      </c>
      <c r="BK90" s="84">
        <f t="shared" si="236"/>
        <v>0</v>
      </c>
      <c r="BL90" s="84">
        <f t="shared" si="236"/>
        <v>0</v>
      </c>
      <c r="BM90" s="84">
        <f t="shared" si="236"/>
        <v>0</v>
      </c>
      <c r="BN90" s="84">
        <f t="shared" si="236"/>
        <v>0</v>
      </c>
      <c r="BO90" s="84">
        <f t="shared" si="236"/>
        <v>0</v>
      </c>
      <c r="BP90" s="84">
        <f t="shared" si="236"/>
        <v>0</v>
      </c>
      <c r="BQ90" s="84">
        <f t="shared" si="236"/>
        <v>0</v>
      </c>
      <c r="BR90" s="84">
        <f t="shared" si="236"/>
        <v>0</v>
      </c>
      <c r="BS90" s="84">
        <f t="shared" si="236"/>
        <v>0</v>
      </c>
      <c r="BT90" s="84">
        <f t="shared" si="236"/>
        <v>0</v>
      </c>
      <c r="BU90" s="84">
        <f t="shared" si="236"/>
        <v>0</v>
      </c>
      <c r="BV90" s="84">
        <f t="shared" si="236"/>
        <v>0</v>
      </c>
      <c r="BW90" s="84">
        <f t="shared" si="236"/>
        <v>0</v>
      </c>
      <c r="BX90" s="599"/>
      <c r="BY90" s="100">
        <f t="shared" si="17"/>
        <v>0</v>
      </c>
    </row>
    <row r="91" spans="1:84">
      <c r="A91" s="418"/>
      <c r="B91" s="96" t="str">
        <f t="shared" si="230"/>
        <v>NV51</v>
      </c>
      <c r="C91" s="96" t="str">
        <f t="shared" si="230"/>
        <v>Nguyễn Văn Chương</v>
      </c>
      <c r="D91" s="96" t="str">
        <f t="shared" si="230"/>
        <v xml:space="preserve">Công nhân </v>
      </c>
      <c r="E91" s="84">
        <f t="shared" si="231"/>
        <v>0</v>
      </c>
      <c r="F91" s="84">
        <f t="shared" si="231"/>
        <v>0</v>
      </c>
      <c r="G91" s="84">
        <f t="shared" si="231"/>
        <v>0</v>
      </c>
      <c r="H91" s="84">
        <f t="shared" si="231"/>
        <v>0</v>
      </c>
      <c r="I91" s="84">
        <f t="shared" si="231"/>
        <v>0</v>
      </c>
      <c r="J91" s="84">
        <f t="shared" si="231"/>
        <v>0</v>
      </c>
      <c r="K91" s="84">
        <f t="shared" si="231"/>
        <v>0</v>
      </c>
      <c r="L91" s="84">
        <f t="shared" si="231"/>
        <v>0</v>
      </c>
      <c r="M91" s="84">
        <f t="shared" si="231"/>
        <v>0</v>
      </c>
      <c r="N91" s="84">
        <f t="shared" si="231"/>
        <v>0</v>
      </c>
      <c r="O91" s="84">
        <f t="shared" si="231"/>
        <v>0</v>
      </c>
      <c r="P91" s="84">
        <f t="shared" si="231"/>
        <v>0</v>
      </c>
      <c r="Q91" s="84">
        <f t="shared" si="231"/>
        <v>0</v>
      </c>
      <c r="R91" s="84">
        <f t="shared" si="231"/>
        <v>0</v>
      </c>
      <c r="S91" s="84">
        <f t="shared" si="231"/>
        <v>0</v>
      </c>
      <c r="T91" s="84">
        <f t="shared" si="231"/>
        <v>0</v>
      </c>
      <c r="U91" s="593"/>
      <c r="V91" s="84">
        <f t="shared" si="232"/>
        <v>0</v>
      </c>
      <c r="W91" s="84">
        <f t="shared" si="232"/>
        <v>0</v>
      </c>
      <c r="X91" s="84">
        <f t="shared" si="232"/>
        <v>0</v>
      </c>
      <c r="Y91" s="84">
        <f t="shared" si="232"/>
        <v>0</v>
      </c>
      <c r="Z91" s="84">
        <f t="shared" si="232"/>
        <v>0</v>
      </c>
      <c r="AA91" s="84">
        <f t="shared" si="232"/>
        <v>0</v>
      </c>
      <c r="AB91" s="84">
        <f t="shared" si="232"/>
        <v>0</v>
      </c>
      <c r="AC91" s="84">
        <f t="shared" si="232"/>
        <v>0</v>
      </c>
      <c r="AD91" s="84">
        <f t="shared" si="232"/>
        <v>0</v>
      </c>
      <c r="AE91" s="84">
        <f t="shared" si="232"/>
        <v>0</v>
      </c>
      <c r="AF91" s="84">
        <f t="shared" si="232"/>
        <v>0</v>
      </c>
      <c r="AG91" s="84">
        <f t="shared" si="232"/>
        <v>0</v>
      </c>
      <c r="AH91" s="84">
        <f t="shared" si="232"/>
        <v>0</v>
      </c>
      <c r="AI91" s="84">
        <f t="shared" si="232"/>
        <v>0</v>
      </c>
      <c r="AJ91" s="84">
        <f t="shared" si="232"/>
        <v>0</v>
      </c>
      <c r="AK91" s="593"/>
      <c r="AL91" s="84">
        <f t="shared" si="233"/>
        <v>0</v>
      </c>
      <c r="AM91" s="84">
        <f t="shared" si="233"/>
        <v>0</v>
      </c>
      <c r="AN91" s="84">
        <f t="shared" si="233"/>
        <v>0</v>
      </c>
      <c r="AO91" s="84">
        <f t="shared" si="233"/>
        <v>0</v>
      </c>
      <c r="AP91" s="597"/>
      <c r="AQ91" s="332">
        <f t="shared" si="234"/>
        <v>0</v>
      </c>
      <c r="AR91" s="332">
        <f t="shared" si="234"/>
        <v>0</v>
      </c>
      <c r="AS91" s="332">
        <f t="shared" si="234"/>
        <v>0</v>
      </c>
      <c r="AT91" s="332">
        <f t="shared" si="234"/>
        <v>0</v>
      </c>
      <c r="AU91" s="332">
        <f t="shared" si="234"/>
        <v>0</v>
      </c>
      <c r="AV91" s="332">
        <f t="shared" si="234"/>
        <v>0</v>
      </c>
      <c r="AW91" s="306">
        <f t="shared" si="234"/>
        <v>0</v>
      </c>
      <c r="AX91" s="306">
        <f t="shared" si="234"/>
        <v>0</v>
      </c>
      <c r="AY91" s="306">
        <f t="shared" si="234"/>
        <v>0</v>
      </c>
      <c r="AZ91" s="306">
        <f t="shared" si="234"/>
        <v>0</v>
      </c>
      <c r="BA91" s="306">
        <f t="shared" si="234"/>
        <v>0</v>
      </c>
      <c r="BB91" s="306">
        <f t="shared" si="234"/>
        <v>0</v>
      </c>
      <c r="BC91" s="306">
        <f t="shared" si="234"/>
        <v>0</v>
      </c>
      <c r="BD91" s="593"/>
      <c r="BE91" s="84">
        <f t="shared" si="235"/>
        <v>0</v>
      </c>
      <c r="BF91" s="84">
        <f t="shared" si="235"/>
        <v>0</v>
      </c>
      <c r="BG91" s="84">
        <f t="shared" si="235"/>
        <v>0</v>
      </c>
      <c r="BH91" s="84">
        <f t="shared" si="235"/>
        <v>0</v>
      </c>
      <c r="BI91" s="593"/>
      <c r="BJ91" s="84">
        <f t="shared" si="236"/>
        <v>0</v>
      </c>
      <c r="BK91" s="84">
        <f t="shared" si="236"/>
        <v>0</v>
      </c>
      <c r="BL91" s="84">
        <f t="shared" si="236"/>
        <v>0</v>
      </c>
      <c r="BM91" s="84">
        <f t="shared" si="236"/>
        <v>0</v>
      </c>
      <c r="BN91" s="84">
        <f t="shared" si="236"/>
        <v>0</v>
      </c>
      <c r="BO91" s="84">
        <f t="shared" si="236"/>
        <v>0</v>
      </c>
      <c r="BP91" s="84">
        <f t="shared" si="236"/>
        <v>0</v>
      </c>
      <c r="BQ91" s="84">
        <f t="shared" si="236"/>
        <v>0</v>
      </c>
      <c r="BR91" s="84">
        <f t="shared" si="236"/>
        <v>0</v>
      </c>
      <c r="BS91" s="84">
        <f t="shared" si="236"/>
        <v>0</v>
      </c>
      <c r="BT91" s="84">
        <f t="shared" si="236"/>
        <v>0</v>
      </c>
      <c r="BU91" s="84">
        <f t="shared" si="236"/>
        <v>0</v>
      </c>
      <c r="BV91" s="84">
        <f t="shared" si="236"/>
        <v>0</v>
      </c>
      <c r="BW91" s="84">
        <f t="shared" si="236"/>
        <v>0</v>
      </c>
      <c r="BX91" s="599"/>
      <c r="BY91" s="100">
        <f t="shared" si="17"/>
        <v>0</v>
      </c>
    </row>
    <row r="92" spans="1:84">
      <c r="A92" s="418">
        <f>A45</f>
        <v>42</v>
      </c>
      <c r="B92" s="96" t="str">
        <f t="shared" ref="B92:C92" si="237">B45</f>
        <v>NV42</v>
      </c>
      <c r="C92" s="96" t="str">
        <f t="shared" si="237"/>
        <v>Ngô Đình Chung</v>
      </c>
      <c r="D92" s="96" t="str">
        <f>D45</f>
        <v>GS Vườn rau</v>
      </c>
      <c r="E92" s="84">
        <f t="shared" ref="E92:T92" si="238">E45*E$50</f>
        <v>0</v>
      </c>
      <c r="F92" s="84">
        <f t="shared" si="238"/>
        <v>0</v>
      </c>
      <c r="G92" s="84">
        <f t="shared" si="238"/>
        <v>0</v>
      </c>
      <c r="H92" s="84">
        <f t="shared" si="238"/>
        <v>0</v>
      </c>
      <c r="I92" s="84">
        <f t="shared" si="238"/>
        <v>0</v>
      </c>
      <c r="J92" s="84">
        <f t="shared" si="238"/>
        <v>0</v>
      </c>
      <c r="K92" s="84">
        <f t="shared" si="238"/>
        <v>0</v>
      </c>
      <c r="L92" s="84">
        <f t="shared" si="238"/>
        <v>0</v>
      </c>
      <c r="M92" s="84">
        <f t="shared" si="238"/>
        <v>0</v>
      </c>
      <c r="N92" s="84">
        <f t="shared" si="238"/>
        <v>0</v>
      </c>
      <c r="O92" s="84">
        <f t="shared" si="238"/>
        <v>0</v>
      </c>
      <c r="P92" s="84">
        <f t="shared" si="238"/>
        <v>0</v>
      </c>
      <c r="Q92" s="84">
        <f t="shared" si="238"/>
        <v>0</v>
      </c>
      <c r="R92" s="84">
        <f t="shared" si="238"/>
        <v>0</v>
      </c>
      <c r="S92" s="84">
        <f t="shared" si="238"/>
        <v>0</v>
      </c>
      <c r="T92" s="84">
        <f t="shared" si="238"/>
        <v>0</v>
      </c>
      <c r="U92" s="593"/>
      <c r="V92" s="84">
        <f t="shared" ref="V92:AJ92" si="239">V45*V$50</f>
        <v>0</v>
      </c>
      <c r="W92" s="84">
        <f t="shared" si="239"/>
        <v>0</v>
      </c>
      <c r="X92" s="84">
        <f t="shared" si="239"/>
        <v>0</v>
      </c>
      <c r="Y92" s="84">
        <f t="shared" si="239"/>
        <v>0</v>
      </c>
      <c r="Z92" s="84">
        <f t="shared" si="239"/>
        <v>0</v>
      </c>
      <c r="AA92" s="84">
        <f t="shared" si="239"/>
        <v>0</v>
      </c>
      <c r="AB92" s="84">
        <f t="shared" si="239"/>
        <v>0</v>
      </c>
      <c r="AC92" s="84">
        <f t="shared" si="239"/>
        <v>0</v>
      </c>
      <c r="AD92" s="84">
        <f t="shared" si="239"/>
        <v>0</v>
      </c>
      <c r="AE92" s="84">
        <f t="shared" si="239"/>
        <v>0</v>
      </c>
      <c r="AF92" s="84">
        <f t="shared" si="239"/>
        <v>0</v>
      </c>
      <c r="AG92" s="84">
        <f t="shared" si="239"/>
        <v>0</v>
      </c>
      <c r="AH92" s="84">
        <f t="shared" si="239"/>
        <v>0</v>
      </c>
      <c r="AI92" s="84">
        <f t="shared" si="239"/>
        <v>0</v>
      </c>
      <c r="AJ92" s="84">
        <f t="shared" si="239"/>
        <v>0</v>
      </c>
      <c r="AK92" s="593"/>
      <c r="AL92" s="84">
        <f t="shared" ref="AL92:AO92" si="240">AL45*AL$50</f>
        <v>0</v>
      </c>
      <c r="AM92" s="84">
        <f t="shared" si="240"/>
        <v>0</v>
      </c>
      <c r="AN92" s="84">
        <f t="shared" si="240"/>
        <v>0</v>
      </c>
      <c r="AO92" s="84">
        <f t="shared" si="240"/>
        <v>0</v>
      </c>
      <c r="AP92" s="597"/>
      <c r="AQ92" s="332">
        <f t="shared" ref="AQ92:BC92" si="241">AQ45*AQ$50</f>
        <v>0</v>
      </c>
      <c r="AR92" s="332">
        <f t="shared" si="241"/>
        <v>0</v>
      </c>
      <c r="AS92" s="332">
        <f t="shared" si="241"/>
        <v>0</v>
      </c>
      <c r="AT92" s="332">
        <f t="shared" si="241"/>
        <v>0</v>
      </c>
      <c r="AU92" s="332">
        <f t="shared" si="241"/>
        <v>0</v>
      </c>
      <c r="AV92" s="332">
        <f t="shared" si="241"/>
        <v>0</v>
      </c>
      <c r="AW92" s="306">
        <f t="shared" si="241"/>
        <v>0</v>
      </c>
      <c r="AX92" s="306">
        <f t="shared" si="241"/>
        <v>0</v>
      </c>
      <c r="AY92" s="306">
        <f t="shared" si="241"/>
        <v>0</v>
      </c>
      <c r="AZ92" s="306">
        <f t="shared" si="241"/>
        <v>0</v>
      </c>
      <c r="BA92" s="306">
        <f t="shared" si="241"/>
        <v>0</v>
      </c>
      <c r="BB92" s="306">
        <f t="shared" si="241"/>
        <v>0</v>
      </c>
      <c r="BC92" s="306">
        <f t="shared" si="241"/>
        <v>0</v>
      </c>
      <c r="BD92" s="593"/>
      <c r="BE92" s="84">
        <f t="shared" ref="BE92:BH92" si="242">BE45*BE$50</f>
        <v>0</v>
      </c>
      <c r="BF92" s="84">
        <f t="shared" si="242"/>
        <v>0</v>
      </c>
      <c r="BG92" s="84">
        <f t="shared" si="242"/>
        <v>0</v>
      </c>
      <c r="BH92" s="84">
        <f t="shared" si="242"/>
        <v>0</v>
      </c>
      <c r="BI92" s="593"/>
      <c r="BJ92" s="84">
        <f t="shared" ref="BJ92:BW92" si="243">BJ45*BJ$50/60</f>
        <v>0</v>
      </c>
      <c r="BK92" s="84">
        <f t="shared" si="243"/>
        <v>0</v>
      </c>
      <c r="BL92" s="84">
        <f t="shared" si="243"/>
        <v>0</v>
      </c>
      <c r="BM92" s="84">
        <f t="shared" si="243"/>
        <v>0</v>
      </c>
      <c r="BN92" s="84">
        <f t="shared" si="243"/>
        <v>0</v>
      </c>
      <c r="BO92" s="84">
        <f t="shared" si="243"/>
        <v>0</v>
      </c>
      <c r="BP92" s="84">
        <f t="shared" si="243"/>
        <v>0</v>
      </c>
      <c r="BQ92" s="84">
        <f t="shared" si="243"/>
        <v>0</v>
      </c>
      <c r="BR92" s="84">
        <f t="shared" si="243"/>
        <v>0</v>
      </c>
      <c r="BS92" s="84">
        <f t="shared" si="243"/>
        <v>0</v>
      </c>
      <c r="BT92" s="84">
        <f t="shared" si="243"/>
        <v>0</v>
      </c>
      <c r="BU92" s="84">
        <f t="shared" si="243"/>
        <v>0</v>
      </c>
      <c r="BV92" s="84">
        <f t="shared" si="243"/>
        <v>0</v>
      </c>
      <c r="BW92" s="84">
        <f t="shared" si="243"/>
        <v>0</v>
      </c>
      <c r="BX92" s="599"/>
      <c r="BY92" s="100">
        <f t="shared" si="17"/>
        <v>0</v>
      </c>
    </row>
    <row r="93" spans="1:84">
      <c r="A93" s="418">
        <f>A46</f>
        <v>43</v>
      </c>
      <c r="B93" s="96" t="str">
        <f t="shared" ref="B93:C93" si="244">B46</f>
        <v>NV43</v>
      </c>
      <c r="C93" s="96" t="str">
        <f t="shared" si="244"/>
        <v>Triệu Minh Tuấn</v>
      </c>
      <c r="D93" s="96" t="str">
        <f>D46</f>
        <v xml:space="preserve">Công nhân </v>
      </c>
      <c r="E93" s="84">
        <f t="shared" ref="E93:T93" si="245">E46*E$50</f>
        <v>0</v>
      </c>
      <c r="F93" s="84">
        <f t="shared" si="245"/>
        <v>0</v>
      </c>
      <c r="G93" s="84">
        <f t="shared" si="245"/>
        <v>0</v>
      </c>
      <c r="H93" s="84">
        <f t="shared" si="245"/>
        <v>0</v>
      </c>
      <c r="I93" s="84">
        <f t="shared" si="245"/>
        <v>0</v>
      </c>
      <c r="J93" s="84">
        <f t="shared" si="245"/>
        <v>0</v>
      </c>
      <c r="K93" s="84">
        <f t="shared" si="245"/>
        <v>0</v>
      </c>
      <c r="L93" s="84">
        <f t="shared" si="245"/>
        <v>0</v>
      </c>
      <c r="M93" s="84">
        <f t="shared" si="245"/>
        <v>0</v>
      </c>
      <c r="N93" s="84">
        <f t="shared" si="245"/>
        <v>0</v>
      </c>
      <c r="O93" s="84">
        <f t="shared" si="245"/>
        <v>0</v>
      </c>
      <c r="P93" s="84">
        <f t="shared" si="245"/>
        <v>0</v>
      </c>
      <c r="Q93" s="84">
        <f t="shared" si="245"/>
        <v>0</v>
      </c>
      <c r="R93" s="84">
        <f t="shared" si="245"/>
        <v>0</v>
      </c>
      <c r="S93" s="84">
        <f t="shared" si="245"/>
        <v>0</v>
      </c>
      <c r="T93" s="84">
        <f t="shared" si="245"/>
        <v>0</v>
      </c>
      <c r="U93" s="593"/>
      <c r="V93" s="84">
        <f t="shared" ref="V93:AJ93" si="246">V46*V$50</f>
        <v>0</v>
      </c>
      <c r="W93" s="84">
        <f t="shared" si="246"/>
        <v>0</v>
      </c>
      <c r="X93" s="84">
        <f t="shared" si="246"/>
        <v>0</v>
      </c>
      <c r="Y93" s="84">
        <f t="shared" si="246"/>
        <v>0</v>
      </c>
      <c r="Z93" s="84">
        <f t="shared" si="246"/>
        <v>0</v>
      </c>
      <c r="AA93" s="84">
        <f t="shared" si="246"/>
        <v>0</v>
      </c>
      <c r="AB93" s="84">
        <f t="shared" si="246"/>
        <v>0</v>
      </c>
      <c r="AC93" s="84">
        <f t="shared" si="246"/>
        <v>0</v>
      </c>
      <c r="AD93" s="84">
        <f t="shared" si="246"/>
        <v>0</v>
      </c>
      <c r="AE93" s="84">
        <f t="shared" si="246"/>
        <v>0</v>
      </c>
      <c r="AF93" s="84">
        <f t="shared" si="246"/>
        <v>0</v>
      </c>
      <c r="AG93" s="84">
        <f t="shared" si="246"/>
        <v>0</v>
      </c>
      <c r="AH93" s="84">
        <f t="shared" si="246"/>
        <v>0</v>
      </c>
      <c r="AI93" s="84">
        <f t="shared" si="246"/>
        <v>0</v>
      </c>
      <c r="AJ93" s="84">
        <f t="shared" si="246"/>
        <v>0</v>
      </c>
      <c r="AK93" s="593"/>
      <c r="AL93" s="84">
        <f t="shared" ref="AL93:AO93" si="247">AL46*AL$50</f>
        <v>0</v>
      </c>
      <c r="AM93" s="84">
        <f t="shared" si="247"/>
        <v>0</v>
      </c>
      <c r="AN93" s="84">
        <f t="shared" si="247"/>
        <v>0</v>
      </c>
      <c r="AO93" s="84">
        <f t="shared" si="247"/>
        <v>0</v>
      </c>
      <c r="AP93" s="597"/>
      <c r="AQ93" s="332">
        <f t="shared" ref="AQ93:BC93" si="248">AQ46*AQ$50</f>
        <v>0</v>
      </c>
      <c r="AR93" s="332">
        <f t="shared" si="248"/>
        <v>0</v>
      </c>
      <c r="AS93" s="332">
        <f t="shared" si="248"/>
        <v>0</v>
      </c>
      <c r="AT93" s="332">
        <f t="shared" si="248"/>
        <v>0</v>
      </c>
      <c r="AU93" s="332">
        <f t="shared" si="248"/>
        <v>0</v>
      </c>
      <c r="AV93" s="332">
        <f t="shared" si="248"/>
        <v>0</v>
      </c>
      <c r="AW93" s="306">
        <f t="shared" si="248"/>
        <v>0</v>
      </c>
      <c r="AX93" s="306">
        <f t="shared" si="248"/>
        <v>0</v>
      </c>
      <c r="AY93" s="306">
        <f t="shared" si="248"/>
        <v>0</v>
      </c>
      <c r="AZ93" s="306">
        <f t="shared" si="248"/>
        <v>0</v>
      </c>
      <c r="BA93" s="306">
        <f t="shared" si="248"/>
        <v>0</v>
      </c>
      <c r="BB93" s="306">
        <f t="shared" si="248"/>
        <v>0</v>
      </c>
      <c r="BC93" s="306">
        <f t="shared" si="248"/>
        <v>0</v>
      </c>
      <c r="BD93" s="593"/>
      <c r="BE93" s="84">
        <f t="shared" ref="BE93:BH93" si="249">BE46*BE$50</f>
        <v>0</v>
      </c>
      <c r="BF93" s="84">
        <f t="shared" si="249"/>
        <v>0</v>
      </c>
      <c r="BG93" s="84">
        <f t="shared" si="249"/>
        <v>0</v>
      </c>
      <c r="BH93" s="84">
        <f t="shared" si="249"/>
        <v>0</v>
      </c>
      <c r="BI93" s="593"/>
      <c r="BJ93" s="84">
        <f t="shared" ref="BJ93:BW93" si="250">BJ46*BJ$50/60</f>
        <v>0</v>
      </c>
      <c r="BK93" s="84">
        <f t="shared" si="250"/>
        <v>0</v>
      </c>
      <c r="BL93" s="84">
        <f t="shared" si="250"/>
        <v>0</v>
      </c>
      <c r="BM93" s="84">
        <f t="shared" si="250"/>
        <v>0</v>
      </c>
      <c r="BN93" s="84">
        <f t="shared" si="250"/>
        <v>0</v>
      </c>
      <c r="BO93" s="84">
        <f t="shared" si="250"/>
        <v>0</v>
      </c>
      <c r="BP93" s="84">
        <f t="shared" si="250"/>
        <v>0</v>
      </c>
      <c r="BQ93" s="84">
        <f t="shared" si="250"/>
        <v>0</v>
      </c>
      <c r="BR93" s="84">
        <f t="shared" si="250"/>
        <v>0</v>
      </c>
      <c r="BS93" s="84">
        <f t="shared" si="250"/>
        <v>0</v>
      </c>
      <c r="BT93" s="84">
        <f t="shared" si="250"/>
        <v>0</v>
      </c>
      <c r="BU93" s="84">
        <f t="shared" si="250"/>
        <v>0</v>
      </c>
      <c r="BV93" s="84">
        <f t="shared" si="250"/>
        <v>0</v>
      </c>
      <c r="BW93" s="84">
        <f t="shared" si="250"/>
        <v>0</v>
      </c>
      <c r="BX93" s="599"/>
      <c r="BY93" s="100">
        <f t="shared" si="17"/>
        <v>0</v>
      </c>
    </row>
    <row r="94" spans="1:84">
      <c r="A94" s="418">
        <f>A47</f>
        <v>44</v>
      </c>
      <c r="B94" s="96" t="str">
        <f t="shared" ref="B94:C94" si="251">B47</f>
        <v>NV44</v>
      </c>
      <c r="C94" s="96" t="str">
        <f t="shared" si="251"/>
        <v>Kim Em</v>
      </c>
      <c r="D94" s="96" t="str">
        <f>D47</f>
        <v xml:space="preserve">Công nhân </v>
      </c>
      <c r="E94" s="84">
        <f t="shared" ref="E94:T94" si="252">E47*E$50</f>
        <v>0</v>
      </c>
      <c r="F94" s="84">
        <f t="shared" si="252"/>
        <v>0</v>
      </c>
      <c r="G94" s="84">
        <f t="shared" si="252"/>
        <v>0</v>
      </c>
      <c r="H94" s="84">
        <f t="shared" si="252"/>
        <v>0</v>
      </c>
      <c r="I94" s="84">
        <f t="shared" si="252"/>
        <v>0</v>
      </c>
      <c r="J94" s="84">
        <f t="shared" si="252"/>
        <v>0</v>
      </c>
      <c r="K94" s="84">
        <f t="shared" si="252"/>
        <v>0</v>
      </c>
      <c r="L94" s="84">
        <f t="shared" si="252"/>
        <v>0</v>
      </c>
      <c r="M94" s="84">
        <f t="shared" si="252"/>
        <v>0</v>
      </c>
      <c r="N94" s="84">
        <f t="shared" si="252"/>
        <v>0</v>
      </c>
      <c r="O94" s="84">
        <f t="shared" si="252"/>
        <v>0</v>
      </c>
      <c r="P94" s="84">
        <f t="shared" si="252"/>
        <v>0</v>
      </c>
      <c r="Q94" s="84">
        <f t="shared" si="252"/>
        <v>0</v>
      </c>
      <c r="R94" s="84">
        <f t="shared" si="252"/>
        <v>0</v>
      </c>
      <c r="S94" s="84">
        <f t="shared" si="252"/>
        <v>0</v>
      </c>
      <c r="T94" s="84">
        <f t="shared" si="252"/>
        <v>0</v>
      </c>
      <c r="U94" s="593"/>
      <c r="V94" s="84">
        <f t="shared" ref="V94:AJ94" si="253">V47*V$50</f>
        <v>0</v>
      </c>
      <c r="W94" s="84">
        <f t="shared" si="253"/>
        <v>0</v>
      </c>
      <c r="X94" s="84">
        <f t="shared" si="253"/>
        <v>0</v>
      </c>
      <c r="Y94" s="84">
        <f t="shared" si="253"/>
        <v>0</v>
      </c>
      <c r="Z94" s="84">
        <f t="shared" si="253"/>
        <v>0</v>
      </c>
      <c r="AA94" s="84">
        <f t="shared" si="253"/>
        <v>0</v>
      </c>
      <c r="AB94" s="84">
        <f t="shared" si="253"/>
        <v>0</v>
      </c>
      <c r="AC94" s="84">
        <f t="shared" si="253"/>
        <v>0</v>
      </c>
      <c r="AD94" s="84">
        <f t="shared" si="253"/>
        <v>0</v>
      </c>
      <c r="AE94" s="84">
        <f t="shared" si="253"/>
        <v>0</v>
      </c>
      <c r="AF94" s="84">
        <f t="shared" si="253"/>
        <v>0</v>
      </c>
      <c r="AG94" s="84">
        <f t="shared" si="253"/>
        <v>0</v>
      </c>
      <c r="AH94" s="84">
        <f t="shared" si="253"/>
        <v>0</v>
      </c>
      <c r="AI94" s="84">
        <f t="shared" si="253"/>
        <v>0</v>
      </c>
      <c r="AJ94" s="84">
        <f t="shared" si="253"/>
        <v>0</v>
      </c>
      <c r="AK94" s="593"/>
      <c r="AL94" s="84">
        <f t="shared" ref="AL94:AO94" si="254">AL47*AL$50</f>
        <v>0</v>
      </c>
      <c r="AM94" s="84">
        <f t="shared" si="254"/>
        <v>0</v>
      </c>
      <c r="AN94" s="84">
        <f t="shared" si="254"/>
        <v>0</v>
      </c>
      <c r="AO94" s="84">
        <f t="shared" si="254"/>
        <v>0</v>
      </c>
      <c r="AP94" s="597"/>
      <c r="AQ94" s="332">
        <f t="shared" ref="AQ94:BC94" si="255">AQ47*AQ$50</f>
        <v>0</v>
      </c>
      <c r="AR94" s="332">
        <f t="shared" si="255"/>
        <v>0</v>
      </c>
      <c r="AS94" s="332">
        <f t="shared" si="255"/>
        <v>0</v>
      </c>
      <c r="AT94" s="332">
        <f t="shared" si="255"/>
        <v>0</v>
      </c>
      <c r="AU94" s="332">
        <f t="shared" si="255"/>
        <v>0</v>
      </c>
      <c r="AV94" s="332">
        <f t="shared" si="255"/>
        <v>0</v>
      </c>
      <c r="AW94" s="306">
        <f t="shared" si="255"/>
        <v>0</v>
      </c>
      <c r="AX94" s="306">
        <f t="shared" si="255"/>
        <v>0</v>
      </c>
      <c r="AY94" s="306">
        <f t="shared" si="255"/>
        <v>0</v>
      </c>
      <c r="AZ94" s="306">
        <f t="shared" si="255"/>
        <v>0</v>
      </c>
      <c r="BA94" s="306">
        <f t="shared" si="255"/>
        <v>0</v>
      </c>
      <c r="BB94" s="306">
        <f t="shared" si="255"/>
        <v>0</v>
      </c>
      <c r="BC94" s="306">
        <f t="shared" si="255"/>
        <v>0</v>
      </c>
      <c r="BD94" s="593"/>
      <c r="BE94" s="84">
        <f t="shared" ref="BE94:BH94" si="256">BE47*BE$50</f>
        <v>0</v>
      </c>
      <c r="BF94" s="84">
        <f t="shared" si="256"/>
        <v>0</v>
      </c>
      <c r="BG94" s="84">
        <f t="shared" si="256"/>
        <v>0</v>
      </c>
      <c r="BH94" s="84">
        <f t="shared" si="256"/>
        <v>0</v>
      </c>
      <c r="BI94" s="593"/>
      <c r="BJ94" s="84">
        <f t="shared" ref="BJ94:BW94" si="257">BJ47*BJ$50/60</f>
        <v>0</v>
      </c>
      <c r="BK94" s="84">
        <f t="shared" si="257"/>
        <v>0</v>
      </c>
      <c r="BL94" s="84">
        <f t="shared" si="257"/>
        <v>0</v>
      </c>
      <c r="BM94" s="84">
        <f t="shared" si="257"/>
        <v>0</v>
      </c>
      <c r="BN94" s="84">
        <f t="shared" si="257"/>
        <v>0</v>
      </c>
      <c r="BO94" s="84">
        <f t="shared" si="257"/>
        <v>0</v>
      </c>
      <c r="BP94" s="84">
        <f t="shared" si="257"/>
        <v>0</v>
      </c>
      <c r="BQ94" s="84">
        <f t="shared" si="257"/>
        <v>0</v>
      </c>
      <c r="BR94" s="84">
        <f t="shared" si="257"/>
        <v>0</v>
      </c>
      <c r="BS94" s="84">
        <f t="shared" si="257"/>
        <v>0</v>
      </c>
      <c r="BT94" s="84">
        <f t="shared" si="257"/>
        <v>0</v>
      </c>
      <c r="BU94" s="84">
        <f t="shared" si="257"/>
        <v>0</v>
      </c>
      <c r="BV94" s="84">
        <f t="shared" si="257"/>
        <v>0</v>
      </c>
      <c r="BW94" s="84">
        <f t="shared" si="257"/>
        <v>0</v>
      </c>
      <c r="BX94" s="599"/>
      <c r="BY94" s="100">
        <f t="shared" si="17"/>
        <v>0</v>
      </c>
    </row>
    <row r="95" spans="1:84">
      <c r="B95" s="96" t="str">
        <f t="shared" ref="B95:C95" si="258">B48</f>
        <v>NV48</v>
      </c>
      <c r="C95" s="96" t="str">
        <f t="shared" si="258"/>
        <v>Danh Ngòi</v>
      </c>
      <c r="D95" s="96" t="str">
        <f>D48</f>
        <v>Công nhân</v>
      </c>
      <c r="E95" s="84">
        <f t="shared" ref="E95:T95" si="259">E48*E$50</f>
        <v>0</v>
      </c>
      <c r="F95" s="84">
        <f t="shared" si="259"/>
        <v>0</v>
      </c>
      <c r="G95" s="84">
        <f t="shared" si="259"/>
        <v>0</v>
      </c>
      <c r="H95" s="84">
        <f t="shared" si="259"/>
        <v>0</v>
      </c>
      <c r="I95" s="84">
        <f t="shared" si="259"/>
        <v>0</v>
      </c>
      <c r="J95" s="84">
        <f t="shared" si="259"/>
        <v>0</v>
      </c>
      <c r="K95" s="84">
        <f t="shared" si="259"/>
        <v>0</v>
      </c>
      <c r="L95" s="84">
        <f t="shared" si="259"/>
        <v>0</v>
      </c>
      <c r="M95" s="84">
        <f t="shared" si="259"/>
        <v>0</v>
      </c>
      <c r="N95" s="84">
        <f t="shared" si="259"/>
        <v>0</v>
      </c>
      <c r="O95" s="84">
        <f t="shared" si="259"/>
        <v>0</v>
      </c>
      <c r="P95" s="84">
        <f t="shared" si="259"/>
        <v>0</v>
      </c>
      <c r="Q95" s="84">
        <f t="shared" si="259"/>
        <v>0</v>
      </c>
      <c r="R95" s="84">
        <f t="shared" si="259"/>
        <v>0</v>
      </c>
      <c r="S95" s="84">
        <f t="shared" si="259"/>
        <v>0</v>
      </c>
      <c r="T95" s="84">
        <f t="shared" si="259"/>
        <v>0</v>
      </c>
      <c r="U95" s="593"/>
      <c r="V95" s="84">
        <f t="shared" ref="V95:AJ95" si="260">V48*V$50</f>
        <v>0</v>
      </c>
      <c r="W95" s="84">
        <f t="shared" si="260"/>
        <v>0</v>
      </c>
      <c r="X95" s="84">
        <f t="shared" si="260"/>
        <v>0</v>
      </c>
      <c r="Y95" s="84">
        <f t="shared" si="260"/>
        <v>0</v>
      </c>
      <c r="Z95" s="84">
        <f t="shared" si="260"/>
        <v>0</v>
      </c>
      <c r="AA95" s="84">
        <f t="shared" si="260"/>
        <v>0</v>
      </c>
      <c r="AB95" s="84">
        <f t="shared" si="260"/>
        <v>0</v>
      </c>
      <c r="AC95" s="84">
        <f t="shared" si="260"/>
        <v>0</v>
      </c>
      <c r="AD95" s="84">
        <f t="shared" si="260"/>
        <v>0</v>
      </c>
      <c r="AE95" s="84">
        <f t="shared" si="260"/>
        <v>0</v>
      </c>
      <c r="AF95" s="84">
        <f t="shared" si="260"/>
        <v>0</v>
      </c>
      <c r="AG95" s="84">
        <f t="shared" si="260"/>
        <v>0</v>
      </c>
      <c r="AH95" s="84">
        <f t="shared" si="260"/>
        <v>0</v>
      </c>
      <c r="AI95" s="84">
        <f t="shared" si="260"/>
        <v>0</v>
      </c>
      <c r="AJ95" s="84">
        <f t="shared" si="260"/>
        <v>0</v>
      </c>
      <c r="AK95" s="593"/>
      <c r="AL95" s="84">
        <f t="shared" ref="AL95:AO95" si="261">AL48*AL$50</f>
        <v>0</v>
      </c>
      <c r="AM95" s="84">
        <f t="shared" si="261"/>
        <v>0</v>
      </c>
      <c r="AN95" s="84">
        <f t="shared" si="261"/>
        <v>0</v>
      </c>
      <c r="AO95" s="84">
        <f t="shared" si="261"/>
        <v>0</v>
      </c>
      <c r="AP95" s="597"/>
      <c r="AQ95" s="332">
        <f t="shared" ref="AQ95:BC95" si="262">AQ48*AQ$50</f>
        <v>0</v>
      </c>
      <c r="AR95" s="332">
        <f t="shared" si="262"/>
        <v>0</v>
      </c>
      <c r="AS95" s="332">
        <f t="shared" si="262"/>
        <v>0</v>
      </c>
      <c r="AT95" s="332">
        <f t="shared" si="262"/>
        <v>0</v>
      </c>
      <c r="AU95" s="332">
        <f t="shared" si="262"/>
        <v>0</v>
      </c>
      <c r="AV95" s="332">
        <f t="shared" si="262"/>
        <v>0</v>
      </c>
      <c r="AW95" s="306">
        <f t="shared" si="262"/>
        <v>0</v>
      </c>
      <c r="AX95" s="306">
        <f t="shared" si="262"/>
        <v>0</v>
      </c>
      <c r="AY95" s="306">
        <f t="shared" si="262"/>
        <v>0</v>
      </c>
      <c r="AZ95" s="306">
        <f t="shared" si="262"/>
        <v>0</v>
      </c>
      <c r="BA95" s="306">
        <f t="shared" si="262"/>
        <v>0</v>
      </c>
      <c r="BB95" s="306">
        <f t="shared" si="262"/>
        <v>0</v>
      </c>
      <c r="BC95" s="306">
        <f t="shared" si="262"/>
        <v>0</v>
      </c>
      <c r="BD95" s="593"/>
      <c r="BE95" s="84">
        <f t="shared" ref="BE95:BH95" si="263">BE48*BE$50</f>
        <v>0</v>
      </c>
      <c r="BF95" s="84">
        <f t="shared" si="263"/>
        <v>0</v>
      </c>
      <c r="BG95" s="84">
        <f t="shared" si="263"/>
        <v>0</v>
      </c>
      <c r="BH95" s="84">
        <f t="shared" si="263"/>
        <v>0</v>
      </c>
      <c r="BI95" s="593"/>
      <c r="BJ95" s="84">
        <f t="shared" ref="BJ95:BW95" si="264">BJ48*BJ$50/60</f>
        <v>0</v>
      </c>
      <c r="BK95" s="84">
        <f t="shared" si="264"/>
        <v>0</v>
      </c>
      <c r="BL95" s="84">
        <f t="shared" si="264"/>
        <v>0</v>
      </c>
      <c r="BM95" s="84">
        <f t="shared" si="264"/>
        <v>0</v>
      </c>
      <c r="BN95" s="84">
        <f t="shared" si="264"/>
        <v>0</v>
      </c>
      <c r="BO95" s="84">
        <f t="shared" si="264"/>
        <v>0</v>
      </c>
      <c r="BP95" s="84">
        <f t="shared" si="264"/>
        <v>0</v>
      </c>
      <c r="BQ95" s="84">
        <f t="shared" si="264"/>
        <v>0</v>
      </c>
      <c r="BR95" s="84">
        <f t="shared" si="264"/>
        <v>0</v>
      </c>
      <c r="BS95" s="84">
        <f t="shared" si="264"/>
        <v>0</v>
      </c>
      <c r="BT95" s="84">
        <f t="shared" si="264"/>
        <v>0</v>
      </c>
      <c r="BU95" s="84">
        <f t="shared" si="264"/>
        <v>0</v>
      </c>
      <c r="BV95" s="84">
        <f t="shared" si="264"/>
        <v>0</v>
      </c>
      <c r="BW95" s="84">
        <f t="shared" si="264"/>
        <v>0</v>
      </c>
      <c r="BX95" s="599"/>
      <c r="BY95" s="100">
        <f t="shared" si="17"/>
        <v>0</v>
      </c>
    </row>
    <row r="96" spans="1:84">
      <c r="B96" s="96" t="str">
        <f t="shared" ref="B96:C96" si="265">B49</f>
        <v>NV50</v>
      </c>
      <c r="C96" s="96" t="str">
        <f t="shared" si="265"/>
        <v>Phùng Nhật Nam</v>
      </c>
      <c r="D96" s="900"/>
      <c r="E96" s="84">
        <f t="shared" ref="E96:T96" si="266">E49*E$50</f>
        <v>0</v>
      </c>
      <c r="F96" s="84">
        <f t="shared" si="266"/>
        <v>0</v>
      </c>
      <c r="G96" s="84">
        <f t="shared" si="266"/>
        <v>0</v>
      </c>
      <c r="H96" s="84">
        <f t="shared" si="266"/>
        <v>0</v>
      </c>
      <c r="I96" s="84">
        <f t="shared" si="266"/>
        <v>0</v>
      </c>
      <c r="J96" s="84">
        <f t="shared" si="266"/>
        <v>0</v>
      </c>
      <c r="K96" s="84">
        <f t="shared" si="266"/>
        <v>0</v>
      </c>
      <c r="L96" s="84">
        <f t="shared" si="266"/>
        <v>0</v>
      </c>
      <c r="M96" s="84">
        <f t="shared" si="266"/>
        <v>0</v>
      </c>
      <c r="N96" s="84">
        <f t="shared" si="266"/>
        <v>0</v>
      </c>
      <c r="O96" s="84">
        <f t="shared" si="266"/>
        <v>0</v>
      </c>
      <c r="P96" s="84">
        <f t="shared" si="266"/>
        <v>0</v>
      </c>
      <c r="Q96" s="84">
        <f t="shared" si="266"/>
        <v>0</v>
      </c>
      <c r="R96" s="84">
        <f t="shared" si="266"/>
        <v>0</v>
      </c>
      <c r="S96" s="84">
        <f t="shared" si="266"/>
        <v>0</v>
      </c>
      <c r="T96" s="84">
        <f t="shared" si="266"/>
        <v>0</v>
      </c>
      <c r="U96" s="901"/>
      <c r="V96" s="84">
        <f t="shared" ref="V96:AJ96" si="267">V49*V$50</f>
        <v>0</v>
      </c>
      <c r="W96" s="84">
        <f t="shared" si="267"/>
        <v>0</v>
      </c>
      <c r="X96" s="84">
        <f t="shared" si="267"/>
        <v>0</v>
      </c>
      <c r="Y96" s="84">
        <f t="shared" si="267"/>
        <v>0</v>
      </c>
      <c r="Z96" s="84">
        <f t="shared" si="267"/>
        <v>0</v>
      </c>
      <c r="AA96" s="84">
        <f t="shared" si="267"/>
        <v>0</v>
      </c>
      <c r="AB96" s="84">
        <f t="shared" si="267"/>
        <v>0</v>
      </c>
      <c r="AC96" s="84">
        <f t="shared" si="267"/>
        <v>0</v>
      </c>
      <c r="AD96" s="84">
        <f t="shared" si="267"/>
        <v>0</v>
      </c>
      <c r="AE96" s="84">
        <f t="shared" si="267"/>
        <v>0</v>
      </c>
      <c r="AF96" s="84">
        <f t="shared" si="267"/>
        <v>0</v>
      </c>
      <c r="AG96" s="84">
        <f t="shared" si="267"/>
        <v>0</v>
      </c>
      <c r="AH96" s="84">
        <f t="shared" si="267"/>
        <v>0</v>
      </c>
      <c r="AI96" s="84">
        <f t="shared" si="267"/>
        <v>0</v>
      </c>
      <c r="AJ96" s="84">
        <f t="shared" si="267"/>
        <v>0</v>
      </c>
      <c r="AK96" s="901"/>
      <c r="AL96" s="84">
        <f t="shared" ref="AL96:AO96" si="268">AL49*AL$50</f>
        <v>0</v>
      </c>
      <c r="AM96" s="84">
        <f t="shared" si="268"/>
        <v>0</v>
      </c>
      <c r="AN96" s="84">
        <f t="shared" si="268"/>
        <v>0</v>
      </c>
      <c r="AO96" s="84">
        <f t="shared" si="268"/>
        <v>0</v>
      </c>
      <c r="AP96" s="901"/>
      <c r="AQ96" s="332">
        <f t="shared" ref="AQ96:BC96" si="269">AQ49*AQ$50</f>
        <v>0</v>
      </c>
      <c r="AR96" s="332">
        <f t="shared" si="269"/>
        <v>0</v>
      </c>
      <c r="AS96" s="332">
        <f t="shared" si="269"/>
        <v>0</v>
      </c>
      <c r="AT96" s="332">
        <f t="shared" si="269"/>
        <v>0</v>
      </c>
      <c r="AU96" s="332">
        <f t="shared" si="269"/>
        <v>0</v>
      </c>
      <c r="AV96" s="332">
        <f t="shared" si="269"/>
        <v>0</v>
      </c>
      <c r="AW96" s="306">
        <f t="shared" si="269"/>
        <v>0</v>
      </c>
      <c r="AX96" s="306">
        <f t="shared" si="269"/>
        <v>0</v>
      </c>
      <c r="AY96" s="306">
        <f t="shared" si="269"/>
        <v>0</v>
      </c>
      <c r="AZ96" s="306">
        <f t="shared" si="269"/>
        <v>0</v>
      </c>
      <c r="BA96" s="306">
        <f t="shared" si="269"/>
        <v>0</v>
      </c>
      <c r="BB96" s="306">
        <f t="shared" si="269"/>
        <v>0</v>
      </c>
      <c r="BC96" s="306">
        <f t="shared" si="269"/>
        <v>0</v>
      </c>
      <c r="BD96" s="901"/>
      <c r="BE96" s="84">
        <f t="shared" ref="BE96:BH96" si="270">BE49*BE$50</f>
        <v>0</v>
      </c>
      <c r="BF96" s="84">
        <f t="shared" si="270"/>
        <v>0</v>
      </c>
      <c r="BG96" s="84">
        <f t="shared" si="270"/>
        <v>0</v>
      </c>
      <c r="BH96" s="84">
        <f t="shared" si="270"/>
        <v>0</v>
      </c>
      <c r="BI96" s="901"/>
      <c r="BJ96" s="84">
        <f t="shared" ref="BJ96:BW96" si="271">BJ49*BJ$50/60</f>
        <v>0</v>
      </c>
      <c r="BK96" s="84">
        <f t="shared" si="271"/>
        <v>0</v>
      </c>
      <c r="BL96" s="84">
        <f t="shared" si="271"/>
        <v>0</v>
      </c>
      <c r="BM96" s="84">
        <f t="shared" si="271"/>
        <v>0</v>
      </c>
      <c r="BN96" s="84">
        <f t="shared" si="271"/>
        <v>0</v>
      </c>
      <c r="BO96" s="84">
        <f t="shared" si="271"/>
        <v>0</v>
      </c>
      <c r="BP96" s="84">
        <f t="shared" si="271"/>
        <v>0</v>
      </c>
      <c r="BQ96" s="84">
        <f t="shared" si="271"/>
        <v>0</v>
      </c>
      <c r="BR96" s="84">
        <f t="shared" si="271"/>
        <v>0</v>
      </c>
      <c r="BS96" s="84">
        <f t="shared" si="271"/>
        <v>0</v>
      </c>
      <c r="BT96" s="84">
        <f t="shared" si="271"/>
        <v>0</v>
      </c>
      <c r="BU96" s="84">
        <f t="shared" si="271"/>
        <v>0</v>
      </c>
      <c r="BV96" s="84">
        <f t="shared" si="271"/>
        <v>0</v>
      </c>
      <c r="BW96" s="84">
        <f t="shared" si="271"/>
        <v>0</v>
      </c>
      <c r="BX96" s="902"/>
      <c r="BY96" s="100">
        <f t="shared" si="17"/>
        <v>0</v>
      </c>
    </row>
    <row r="97" spans="4:41">
      <c r="D97" s="85">
        <v>4</v>
      </c>
      <c r="E97">
        <v>4</v>
      </c>
      <c r="F97" s="818">
        <f>SUM(D97:E97)*1.5*'BANG LUONG 1'!$L$7/26/8</f>
        <v>243064.90384615384</v>
      </c>
      <c r="G97" s="795">
        <f t="shared" ref="G97:G101" si="272">+F97+AO97</f>
        <v>243064.90384615384</v>
      </c>
      <c r="AO97" s="76"/>
    </row>
    <row r="98" spans="4:41">
      <c r="D98" s="85">
        <v>4</v>
      </c>
      <c r="F98" s="818">
        <f>SUM(D98:E98)*1.5*'BANG LUONG 1'!$L$7/26/8</f>
        <v>121532.45192307692</v>
      </c>
      <c r="G98" s="795">
        <f t="shared" si="272"/>
        <v>121532.45192307692</v>
      </c>
      <c r="AL98" s="74">
        <f>+AL96+AM96+AO96</f>
        <v>0</v>
      </c>
    </row>
    <row r="99" spans="4:41">
      <c r="D99" s="85">
        <v>4</v>
      </c>
      <c r="E99">
        <v>4</v>
      </c>
      <c r="F99" s="818">
        <f>SUM(D99:E99)*1.5*'BANG LUONG 1'!$L$7/26/8</f>
        <v>243064.90384615384</v>
      </c>
      <c r="G99" s="795">
        <f t="shared" si="272"/>
        <v>243064.90384615384</v>
      </c>
      <c r="AO99" s="76"/>
    </row>
    <row r="100" spans="4:41">
      <c r="D100" s="85">
        <v>4</v>
      </c>
      <c r="F100" s="818">
        <f>SUM(D100:E100)*1.5*'BANG LUONG 1'!$L$7/26/8</f>
        <v>121532.45192307692</v>
      </c>
      <c r="G100" s="795">
        <f t="shared" si="272"/>
        <v>121532.45192307692</v>
      </c>
      <c r="AO100" s="76"/>
    </row>
    <row r="101" spans="4:41">
      <c r="D101" s="85">
        <v>4</v>
      </c>
      <c r="F101" s="818">
        <f>SUM(D101:E101)*1.5*'BANG LUONG 1'!$L$7/26/8</f>
        <v>121532.45192307692</v>
      </c>
      <c r="G101" s="795">
        <f t="shared" si="272"/>
        <v>121532.45192307692</v>
      </c>
    </row>
  </sheetData>
  <mergeCells count="8">
    <mergeCell ref="BJ3:BW3"/>
    <mergeCell ref="E52:T52"/>
    <mergeCell ref="E5:T5"/>
    <mergeCell ref="E3:T3"/>
    <mergeCell ref="V3:AJ3"/>
    <mergeCell ref="BE3:BH3"/>
    <mergeCell ref="AQ3:BC3"/>
    <mergeCell ref="AL3:AO3"/>
  </mergeCells>
  <pageMargins left="0" right="0" top="0" bottom="0" header="0.3" footer="0"/>
  <pageSetup paperSize="9" scale="8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BX50"/>
  <sheetViews>
    <sheetView tabSelected="1" zoomScaleNormal="100" workbookViewId="0">
      <pane xSplit="4" ySplit="5" topLeftCell="E6" activePane="bottomRight" state="frozen"/>
      <selection activeCell="R40" sqref="R40"/>
      <selection pane="topRight" activeCell="R40" sqref="R40"/>
      <selection pane="bottomLeft" activeCell="R40" sqref="R40"/>
      <selection pane="bottomRight" activeCell="AT36" sqref="AT36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10.33203125" customWidth="1"/>
    <col min="40" max="40" width="8.33203125" customWidth="1"/>
    <col min="41" max="41" width="12.88671875" style="74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57" width="6.44140625" customWidth="1"/>
    <col min="58" max="58" width="6" customWidth="1"/>
    <col min="59" max="60" width="6.44140625" customWidth="1"/>
    <col min="61" max="61" width="4" customWidth="1"/>
    <col min="62" max="62" width="6.44140625" customWidth="1"/>
    <col min="63" max="63" width="9.44140625" customWidth="1"/>
    <col min="64" max="69" width="6.44140625" customWidth="1"/>
    <col min="70" max="70" width="8.44140625" style="699" bestFit="1" customWidth="1"/>
    <col min="71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0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75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700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4"/>
      <c r="AM5" s="395"/>
      <c r="AN5" s="395"/>
      <c r="AO5" s="641"/>
      <c r="AP5" s="52"/>
      <c r="AQ5" s="918"/>
      <c r="AR5" s="918"/>
      <c r="AS5" s="918"/>
      <c r="AT5" s="918"/>
      <c r="AU5" s="918"/>
      <c r="AV5" s="918"/>
      <c r="AW5" s="919"/>
      <c r="AX5" s="919"/>
      <c r="AY5" s="919"/>
      <c r="AZ5" s="919"/>
      <c r="BA5" s="919"/>
      <c r="BB5" s="919"/>
      <c r="BC5" s="920"/>
      <c r="BD5" s="52"/>
      <c r="BE5" s="395"/>
      <c r="BF5" s="395"/>
      <c r="BG5" s="395"/>
      <c r="BH5" s="395"/>
      <c r="BI5" s="52"/>
      <c r="BJ5" s="395"/>
      <c r="BK5" s="395"/>
      <c r="BL5" s="395"/>
      <c r="BM5" s="395"/>
      <c r="BN5" s="395"/>
      <c r="BO5" s="395"/>
      <c r="BP5" s="395"/>
      <c r="BQ5" s="395"/>
      <c r="BR5" s="921"/>
      <c r="BS5" s="395"/>
      <c r="BT5" s="395"/>
      <c r="BU5" s="395"/>
      <c r="BV5" s="395"/>
      <c r="BW5" s="395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47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45"/>
      <c r="AL6" s="419"/>
      <c r="AM6" s="419"/>
      <c r="AN6" s="419"/>
      <c r="AO6" s="76"/>
      <c r="AP6" s="922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922"/>
      <c r="BE6" s="418"/>
      <c r="BF6" s="418"/>
      <c r="BG6" s="418"/>
      <c r="BH6" s="418"/>
      <c r="BI6" s="922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917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47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45"/>
      <c r="AL7" s="419">
        <v>5780</v>
      </c>
      <c r="AM7" s="899">
        <v>2160</v>
      </c>
      <c r="AN7" s="419"/>
      <c r="AO7" s="76">
        <v>6300</v>
      </c>
      <c r="AP7" s="922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922"/>
      <c r="BE7" s="418"/>
      <c r="BF7" s="418"/>
      <c r="BG7" s="418"/>
      <c r="BH7" s="418"/>
      <c r="BI7" s="922"/>
      <c r="BJ7" s="418"/>
      <c r="BK7" s="418"/>
      <c r="BL7" s="418"/>
      <c r="BM7" s="418"/>
      <c r="BN7" s="418"/>
      <c r="BO7" s="418"/>
      <c r="BP7" s="418"/>
      <c r="BQ7" s="418"/>
      <c r="BR7" s="414">
        <v>60</v>
      </c>
      <c r="BS7" s="418"/>
      <c r="BT7" s="418"/>
      <c r="BU7" s="418"/>
      <c r="BV7" s="418"/>
      <c r="BW7" s="418"/>
      <c r="BX7" s="917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45"/>
      <c r="AL8" s="419"/>
      <c r="AM8" s="899"/>
      <c r="AN8" s="419"/>
      <c r="AO8" s="76"/>
      <c r="AP8" s="922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922"/>
      <c r="BE8" s="418"/>
      <c r="BF8" s="418"/>
      <c r="BG8" s="418"/>
      <c r="BH8" s="418"/>
      <c r="BI8" s="922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917"/>
    </row>
    <row r="9" spans="1:76">
      <c r="A9" s="418">
        <f>'BANG LUONG 1'!A9</f>
        <v>7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>
        <v>5780</v>
      </c>
      <c r="AM9" s="899">
        <v>2160</v>
      </c>
      <c r="AN9" s="419"/>
      <c r="AO9" s="76">
        <v>6300</v>
      </c>
      <c r="AP9" s="922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922"/>
      <c r="BE9" s="418"/>
      <c r="BF9" s="418"/>
      <c r="BG9" s="418"/>
      <c r="BH9" s="418"/>
      <c r="BI9" s="922"/>
      <c r="BJ9" s="418"/>
      <c r="BK9" s="418"/>
      <c r="BL9" s="418"/>
      <c r="BM9" s="418"/>
      <c r="BN9" s="418"/>
      <c r="BO9" s="923"/>
      <c r="BP9" s="418"/>
      <c r="BQ9" s="418"/>
      <c r="BR9" s="414">
        <v>60</v>
      </c>
      <c r="BS9" s="418"/>
      <c r="BT9" s="418"/>
      <c r="BU9" s="418"/>
      <c r="BV9" s="418"/>
      <c r="BW9" s="418"/>
      <c r="BX9" s="917"/>
    </row>
    <row r="10" spans="1:76">
      <c r="A10" s="418">
        <f>'BANG LUONG 1'!A10</f>
        <v>9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45"/>
      <c r="AL10" s="419">
        <v>8100</v>
      </c>
      <c r="AM10" s="899">
        <v>2160</v>
      </c>
      <c r="AN10" s="419"/>
      <c r="AO10" s="76">
        <v>6300</v>
      </c>
      <c r="AP10" s="922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922"/>
      <c r="BE10" s="418"/>
      <c r="BF10" s="418"/>
      <c r="BG10" s="418"/>
      <c r="BH10" s="418"/>
      <c r="BI10" s="922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917"/>
    </row>
    <row r="11" spans="1:76">
      <c r="A11" s="418">
        <f>'BANG LUONG 1'!A11</f>
        <v>10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45"/>
      <c r="AL11" s="419">
        <v>5780</v>
      </c>
      <c r="AM11" s="899">
        <v>2160</v>
      </c>
      <c r="AN11" s="419"/>
      <c r="AO11" s="76">
        <v>6300</v>
      </c>
      <c r="AP11" s="922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922"/>
      <c r="BE11" s="418"/>
      <c r="BF11" s="418"/>
      <c r="BG11" s="418"/>
      <c r="BH11" s="418"/>
      <c r="BI11" s="922"/>
      <c r="BJ11" s="418"/>
      <c r="BK11" s="413"/>
      <c r="BL11" s="418"/>
      <c r="BM11" s="418"/>
      <c r="BN11" s="418"/>
      <c r="BO11" s="418"/>
      <c r="BP11" s="418"/>
      <c r="BQ11" s="418"/>
      <c r="BR11" s="414">
        <v>60</v>
      </c>
      <c r="BS11" s="418"/>
      <c r="BT11" s="418"/>
      <c r="BU11" s="418"/>
      <c r="BV11" s="418"/>
      <c r="BW11" s="418"/>
      <c r="BX11" s="917"/>
    </row>
    <row r="12" spans="1:76">
      <c r="A12" s="418">
        <f>'BANG LUONG 1'!A12</f>
        <v>11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45"/>
      <c r="AL12" s="419">
        <v>8100</v>
      </c>
      <c r="AM12" s="899">
        <v>2160</v>
      </c>
      <c r="AN12" s="419"/>
      <c r="AO12" s="76">
        <v>6300</v>
      </c>
      <c r="AP12" s="922"/>
      <c r="AQ12" s="330"/>
      <c r="AR12" s="331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922"/>
      <c r="BE12" s="418"/>
      <c r="BF12" s="418"/>
      <c r="BG12" s="418"/>
      <c r="BH12" s="418"/>
      <c r="BI12" s="922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917"/>
    </row>
    <row r="13" spans="1:76">
      <c r="A13" s="418">
        <f>'BANG LUONG 1'!A13</f>
        <v>12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45"/>
      <c r="AL13" s="419">
        <v>5780</v>
      </c>
      <c r="AM13" s="899">
        <v>2160</v>
      </c>
      <c r="AN13" s="419"/>
      <c r="AO13" s="76">
        <v>6300</v>
      </c>
      <c r="AP13" s="922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922"/>
      <c r="BE13" s="418"/>
      <c r="BF13" s="418"/>
      <c r="BG13" s="418"/>
      <c r="BH13" s="418"/>
      <c r="BI13" s="922"/>
      <c r="BJ13" s="418"/>
      <c r="BK13" s="413"/>
      <c r="BL13" s="418"/>
      <c r="BM13" s="418"/>
      <c r="BN13" s="418"/>
      <c r="BO13" s="418"/>
      <c r="BP13" s="418"/>
      <c r="BQ13" s="418"/>
      <c r="BR13" s="414">
        <v>60</v>
      </c>
      <c r="BS13" s="418"/>
      <c r="BT13" s="418"/>
      <c r="BU13" s="418"/>
      <c r="BV13" s="418"/>
      <c r="BW13" s="418"/>
      <c r="BX13" s="917"/>
    </row>
    <row r="14" spans="1:76">
      <c r="A14" s="418">
        <f>'BANG LUONG 1'!A14</f>
        <v>0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>
        <v>5780</v>
      </c>
      <c r="AM14" s="899">
        <v>2160</v>
      </c>
      <c r="AN14" s="419"/>
      <c r="AO14" s="76">
        <v>6300</v>
      </c>
      <c r="AP14" s="922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922"/>
      <c r="BE14" s="418"/>
      <c r="BF14" s="418"/>
      <c r="BG14" s="418"/>
      <c r="BH14" s="418"/>
      <c r="BI14" s="922"/>
      <c r="BJ14" s="418"/>
      <c r="BK14" s="413"/>
      <c r="BL14" s="418"/>
      <c r="BM14" s="418"/>
      <c r="BN14" s="418"/>
      <c r="BO14" s="418"/>
      <c r="BP14" s="418"/>
      <c r="BQ14" s="418"/>
      <c r="BR14" s="414">
        <v>60</v>
      </c>
      <c r="BS14" s="418"/>
      <c r="BT14" s="418"/>
      <c r="BU14" s="418"/>
      <c r="BV14" s="418"/>
      <c r="BW14" s="418"/>
      <c r="BX14" s="917"/>
    </row>
    <row r="15" spans="1:76">
      <c r="A15" s="418">
        <f>'BANG LUONG 1'!A15</f>
        <v>0</v>
      </c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>
        <v>8100</v>
      </c>
      <c r="AM15" s="899">
        <v>2160</v>
      </c>
      <c r="AN15" s="419"/>
      <c r="AO15" s="76">
        <v>6300</v>
      </c>
      <c r="AP15" s="922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922"/>
      <c r="BE15" s="418"/>
      <c r="BF15" s="418"/>
      <c r="BG15" s="418"/>
      <c r="BH15" s="418"/>
      <c r="BI15" s="922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917"/>
    </row>
    <row r="16" spans="1:76">
      <c r="A16" s="418" t="str">
        <f>'BANG LUONG 1'!A18</f>
        <v>J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>
        <v>8100</v>
      </c>
      <c r="AM16" s="899">
        <v>2160</v>
      </c>
      <c r="AN16" s="419"/>
      <c r="AO16" s="76">
        <v>6300</v>
      </c>
      <c r="AP16" s="922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922"/>
      <c r="BE16" s="418"/>
      <c r="BF16" s="418"/>
      <c r="BG16" s="418"/>
      <c r="BH16" s="418"/>
      <c r="BI16" s="922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917"/>
    </row>
    <row r="17" spans="1:76">
      <c r="A17" s="418">
        <f>'BANG LUONG 1'!A19</f>
        <v>13</v>
      </c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45"/>
      <c r="AL17" s="419"/>
      <c r="AM17" s="419"/>
      <c r="AN17" s="419"/>
      <c r="AO17" s="76"/>
      <c r="AP17" s="922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922"/>
      <c r="BE17" s="418"/>
      <c r="BF17" s="418"/>
      <c r="BG17" s="418"/>
      <c r="BH17" s="418"/>
      <c r="BI17" s="922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917"/>
    </row>
    <row r="18" spans="1:76" ht="15.6">
      <c r="A18" s="418">
        <f>'BANG LUONG 1'!A20</f>
        <v>14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45"/>
      <c r="AL18" s="41"/>
      <c r="AM18" s="419"/>
      <c r="AN18" s="419"/>
      <c r="AO18" s="898"/>
      <c r="AP18" s="922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922"/>
      <c r="BE18" s="418"/>
      <c r="BF18" s="418"/>
      <c r="BG18" s="418"/>
      <c r="BH18" s="418"/>
      <c r="BI18" s="922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917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45"/>
      <c r="AL19" s="419"/>
      <c r="AM19" s="419"/>
      <c r="AN19" s="419"/>
      <c r="AO19" s="76"/>
      <c r="AP19" s="922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922"/>
      <c r="BE19" s="418"/>
      <c r="BF19" s="418"/>
      <c r="BG19" s="418"/>
      <c r="BH19" s="418"/>
      <c r="BI19" s="922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917"/>
    </row>
    <row r="20" spans="1:76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45"/>
      <c r="AL20" s="419"/>
      <c r="AM20" s="419"/>
      <c r="AN20" s="419"/>
      <c r="AO20" s="76"/>
      <c r="AP20" s="922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922"/>
      <c r="BE20" s="418"/>
      <c r="BF20" s="418"/>
      <c r="BG20" s="418"/>
      <c r="BH20" s="418"/>
      <c r="BI20" s="922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917"/>
    </row>
    <row r="21" spans="1:76" ht="22.5" customHeight="1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922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922"/>
      <c r="BE21" s="418"/>
      <c r="BF21" s="418"/>
      <c r="BG21" s="418"/>
      <c r="BH21" s="418"/>
      <c r="BI21" s="922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917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922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922"/>
      <c r="BE22" s="418"/>
      <c r="BF22" s="418"/>
      <c r="BG22" s="418"/>
      <c r="BH22" s="418"/>
      <c r="BI22" s="922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917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922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922"/>
      <c r="BE23" s="418"/>
      <c r="BF23" s="418"/>
      <c r="BG23" s="418"/>
      <c r="BH23" s="418"/>
      <c r="BI23" s="922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917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922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922"/>
      <c r="BE24" s="418"/>
      <c r="BF24" s="418"/>
      <c r="BG24" s="418"/>
      <c r="BH24" s="418"/>
      <c r="BI24" s="922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917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922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922"/>
      <c r="BE25" s="418"/>
      <c r="BF25" s="418"/>
      <c r="BG25" s="418"/>
      <c r="BH25" s="418"/>
      <c r="BI25" s="922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917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922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922"/>
      <c r="BE26" s="418"/>
      <c r="BF26" s="418"/>
      <c r="BG26" s="418"/>
      <c r="BH26" s="418"/>
      <c r="BI26" s="922"/>
      <c r="BJ26" s="418"/>
      <c r="BK26" s="418"/>
      <c r="BL26" s="418"/>
      <c r="BM26" s="418"/>
      <c r="BN26" s="418"/>
      <c r="BO26" s="418"/>
      <c r="BP26" s="418"/>
      <c r="BQ26" s="418"/>
      <c r="BR26" s="414"/>
      <c r="BS26" s="418"/>
      <c r="BT26" s="418"/>
      <c r="BU26" s="418"/>
      <c r="BV26" s="418"/>
      <c r="BW26" s="418"/>
      <c r="BX26" s="917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922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922"/>
      <c r="BE27" s="418"/>
      <c r="BF27" s="418"/>
      <c r="BG27" s="418"/>
      <c r="BH27" s="418"/>
      <c r="BI27" s="922"/>
      <c r="BJ27" s="418"/>
      <c r="BK27" s="418"/>
      <c r="BL27" s="418"/>
      <c r="BM27" s="418"/>
      <c r="BN27" s="418"/>
      <c r="BO27" s="418"/>
      <c r="BP27" s="418"/>
      <c r="BQ27" s="418"/>
      <c r="BR27" s="924"/>
      <c r="BS27" s="418"/>
      <c r="BT27" s="418"/>
      <c r="BU27" s="418"/>
      <c r="BV27" s="418"/>
      <c r="BW27" s="418"/>
      <c r="BX27" s="917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922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922"/>
      <c r="BE28" s="418"/>
      <c r="BF28" s="418"/>
      <c r="BG28" s="418"/>
      <c r="BH28" s="418"/>
      <c r="BI28" s="922"/>
      <c r="BJ28" s="418"/>
      <c r="BK28" s="418"/>
      <c r="BL28" s="418"/>
      <c r="BM28" s="418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917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922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922"/>
      <c r="BE29" s="418"/>
      <c r="BF29" s="418"/>
      <c r="BG29" s="418"/>
      <c r="BH29" s="418"/>
      <c r="BI29" s="922"/>
      <c r="BJ29" s="418"/>
      <c r="BK29" s="418"/>
      <c r="BL29" s="418"/>
      <c r="BM29" s="418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917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922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922"/>
      <c r="BE30" s="418"/>
      <c r="BF30" s="418"/>
      <c r="BG30" s="418"/>
      <c r="BH30" s="418"/>
      <c r="BI30" s="922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917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922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922"/>
      <c r="BE31" s="418"/>
      <c r="BF31" s="418"/>
      <c r="BG31" s="418"/>
      <c r="BH31" s="418"/>
      <c r="BI31" s="922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917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>
        <v>8100</v>
      </c>
      <c r="AM32" s="899">
        <v>2160</v>
      </c>
      <c r="AN32" s="419"/>
      <c r="AO32" s="76">
        <v>6300</v>
      </c>
      <c r="AP32" s="922"/>
      <c r="AQ32" s="330"/>
      <c r="AR32" s="330"/>
      <c r="AS32" s="330"/>
      <c r="AT32" s="330"/>
      <c r="AU32" s="330"/>
      <c r="AV32" s="330"/>
      <c r="AX32" s="319"/>
      <c r="AY32" s="319"/>
      <c r="AZ32" s="319"/>
      <c r="BA32" s="319"/>
      <c r="BB32" s="319"/>
      <c r="BC32" s="324"/>
      <c r="BD32" s="922"/>
      <c r="BE32" s="418"/>
      <c r="BF32" s="418"/>
      <c r="BG32" s="418"/>
      <c r="BH32" s="418"/>
      <c r="BI32" s="922"/>
      <c r="BJ32" s="418"/>
      <c r="BK32" s="418"/>
      <c r="BL32" s="418"/>
      <c r="BM32" s="418"/>
      <c r="BN32" s="418"/>
      <c r="BO32" s="418"/>
      <c r="BP32" s="418"/>
      <c r="BQ32" s="418"/>
      <c r="BR32" s="414"/>
      <c r="BS32" s="418"/>
      <c r="BT32" s="418"/>
      <c r="BU32" s="418"/>
      <c r="BV32" s="418"/>
      <c r="BW32" s="418"/>
      <c r="BX32" s="917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47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45"/>
      <c r="AL33" s="419"/>
      <c r="AM33" s="899"/>
      <c r="AN33" s="419"/>
      <c r="AO33" s="76"/>
      <c r="AP33" s="922"/>
      <c r="AQ33" s="416"/>
      <c r="AR33" s="416"/>
      <c r="AS33" s="417"/>
      <c r="AT33" s="416"/>
      <c r="AU33" s="417"/>
      <c r="AV33" s="417"/>
      <c r="AW33" s="319"/>
      <c r="AX33" s="879"/>
      <c r="AY33" s="319"/>
      <c r="AZ33" s="319"/>
      <c r="BA33" s="319"/>
      <c r="BB33" s="319"/>
      <c r="BC33" s="324"/>
      <c r="BD33" s="922"/>
      <c r="BE33" s="418"/>
      <c r="BF33" s="418"/>
      <c r="BG33" s="418"/>
      <c r="BH33" s="418"/>
      <c r="BI33" s="922"/>
      <c r="BJ33" s="418"/>
      <c r="BK33" s="418"/>
      <c r="BL33" s="418"/>
      <c r="BM33" s="421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917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47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45"/>
      <c r="AL34" s="419"/>
      <c r="AM34" s="899"/>
      <c r="AN34" s="419"/>
      <c r="AO34" s="76"/>
      <c r="AP34" s="922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922"/>
      <c r="BE34" s="418"/>
      <c r="BF34" s="418"/>
      <c r="BG34" s="418"/>
      <c r="BH34" s="418"/>
      <c r="BI34" s="922"/>
      <c r="BJ34" s="418"/>
      <c r="BK34" s="414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917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47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45"/>
      <c r="AL35" s="419"/>
      <c r="AM35" s="899"/>
      <c r="AN35" s="419"/>
      <c r="AO35" s="76"/>
      <c r="AP35" s="922"/>
      <c r="AQ35" s="416"/>
      <c r="AR35" s="416"/>
      <c r="AS35" s="417"/>
      <c r="AT35" s="416"/>
      <c r="AU35" s="417"/>
      <c r="AV35" s="417"/>
      <c r="AW35" s="319"/>
      <c r="AX35" s="319"/>
      <c r="AY35" s="319"/>
      <c r="AZ35" s="319"/>
      <c r="BA35" s="319"/>
      <c r="BB35" s="319"/>
      <c r="BC35" s="324"/>
      <c r="BD35" s="922"/>
      <c r="BE35" s="418"/>
      <c r="BF35" s="418"/>
      <c r="BG35" s="418"/>
      <c r="BH35" s="418"/>
      <c r="BI35" s="922"/>
      <c r="BJ35" s="418"/>
      <c r="BK35" s="413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917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922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922"/>
      <c r="BE36" s="418"/>
      <c r="BF36" s="418"/>
      <c r="BG36" s="418"/>
      <c r="BH36" s="418"/>
      <c r="BI36" s="922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917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922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922"/>
      <c r="BE37" s="418"/>
      <c r="BF37" s="418"/>
      <c r="BG37" s="418"/>
      <c r="BH37" s="418"/>
      <c r="BI37" s="922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917"/>
    </row>
    <row r="38" spans="1:76">
      <c r="A38" s="418" t="str">
        <f>'BANG LUONG 1'!A38</f>
        <v>G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922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922"/>
      <c r="BE38" s="418"/>
      <c r="BF38" s="418"/>
      <c r="BG38" s="418"/>
      <c r="BH38" s="418"/>
      <c r="BI38" s="922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917"/>
    </row>
    <row r="39" spans="1:76">
      <c r="A39" s="418">
        <f>'BANG LUONG 1'!A40</f>
        <v>35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922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922"/>
      <c r="BE39" s="418"/>
      <c r="BF39" s="418"/>
      <c r="BG39" s="418"/>
      <c r="BH39" s="418"/>
      <c r="BI39" s="922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917"/>
    </row>
    <row r="40" spans="1:76">
      <c r="A40" s="418">
        <f>'BANG LUONG 1'!A41</f>
        <v>37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922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922"/>
      <c r="BE40" s="418"/>
      <c r="BF40" s="418"/>
      <c r="BG40" s="418"/>
      <c r="BH40" s="418"/>
      <c r="BI40" s="922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917"/>
    </row>
    <row r="41" spans="1:76">
      <c r="A41" s="418">
        <f>'BANG LUONG 1'!A16</f>
        <v>38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922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922"/>
      <c r="BE41" s="418"/>
      <c r="BF41" s="418"/>
      <c r="BG41" s="418"/>
      <c r="BH41" s="418"/>
      <c r="BI41" s="922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917"/>
    </row>
    <row r="42" spans="1:76">
      <c r="A42" s="418">
        <f>'BANG LUONG 1'!A42</f>
        <v>39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922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922"/>
      <c r="BE42" s="418"/>
      <c r="BF42" s="418"/>
      <c r="BG42" s="418"/>
      <c r="BH42" s="418"/>
      <c r="BI42" s="922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917"/>
    </row>
    <row r="43" spans="1:76">
      <c r="A43" s="418">
        <f>'BANG LUONG 1'!A43</f>
        <v>41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922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922"/>
      <c r="BE43" s="418"/>
      <c r="BF43" s="418"/>
      <c r="BG43" s="418"/>
      <c r="BH43" s="418"/>
      <c r="BI43" s="922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917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922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922"/>
      <c r="BE44" s="418"/>
      <c r="BF44" s="418"/>
      <c r="BG44" s="418"/>
      <c r="BH44" s="418"/>
      <c r="BI44" s="922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917"/>
    </row>
    <row r="45" spans="1:76">
      <c r="A45" s="418">
        <f>'BANG LUONG 1'!A43</f>
        <v>41</v>
      </c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922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922"/>
      <c r="BE45" s="418"/>
      <c r="BF45" s="418"/>
      <c r="BG45" s="418"/>
      <c r="BH45" s="418"/>
      <c r="BI45" s="922"/>
      <c r="BJ45" s="418"/>
      <c r="BK45" s="418"/>
      <c r="BL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917"/>
    </row>
    <row r="46" spans="1:76">
      <c r="A46" s="418">
        <f>'BANG LUONG 1'!A44</f>
        <v>45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922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922"/>
      <c r="BE46" s="418"/>
      <c r="BF46" s="418"/>
      <c r="BG46" s="418"/>
      <c r="BH46" s="418"/>
      <c r="BI46" s="922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917"/>
    </row>
    <row r="47" spans="1:76">
      <c r="A47" s="418" t="str">
        <f>'BANG LUONG 1'!A47</f>
        <v>G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922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922"/>
      <c r="BE47" s="418"/>
      <c r="BF47" s="418"/>
      <c r="BG47" s="418"/>
      <c r="BH47" s="418"/>
      <c r="BI47" s="922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917"/>
    </row>
    <row r="48" spans="1:76">
      <c r="A48" s="418">
        <f>'BANG LUONG 1'!A48</f>
        <v>42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922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922"/>
      <c r="BE48" s="418"/>
      <c r="BF48" s="418"/>
      <c r="BG48" s="418"/>
      <c r="BH48" s="418"/>
      <c r="BI48" s="922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917"/>
    </row>
    <row r="49" spans="1:76">
      <c r="A49" s="903"/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904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905"/>
      <c r="AL49" s="419"/>
      <c r="AM49" s="419"/>
      <c r="AN49" s="419"/>
      <c r="AO49" s="76"/>
      <c r="AP49" s="922"/>
      <c r="AQ49" s="330"/>
      <c r="AR49" s="330"/>
      <c r="AS49" s="330"/>
      <c r="AT49" s="330"/>
      <c r="AU49" s="330"/>
      <c r="AV49" s="330"/>
      <c r="AW49" s="319"/>
      <c r="AX49" s="319"/>
      <c r="AY49" s="319"/>
      <c r="AZ49" s="319"/>
      <c r="BA49" s="319"/>
      <c r="BB49" s="319"/>
      <c r="BC49" s="324"/>
      <c r="BD49" s="922"/>
      <c r="BE49" s="418"/>
      <c r="BF49" s="418"/>
      <c r="BG49" s="418"/>
      <c r="BH49" s="418"/>
      <c r="BI49" s="922"/>
      <c r="BJ49" s="418"/>
      <c r="BK49" s="418"/>
      <c r="BL49" s="418"/>
      <c r="BM49" s="418"/>
      <c r="BN49" s="418"/>
      <c r="BO49" s="418"/>
      <c r="BP49" s="418"/>
      <c r="BQ49" s="418"/>
      <c r="BR49" s="414"/>
      <c r="BS49" s="418"/>
      <c r="BT49" s="418"/>
      <c r="BU49" s="418"/>
      <c r="BV49" s="418"/>
      <c r="BW49" s="418"/>
      <c r="BX49" s="905"/>
    </row>
    <row r="50" spans="1:76">
      <c r="AL50" s="30">
        <f>SUM(AL6:AL49)</f>
        <v>69400</v>
      </c>
      <c r="AM50" s="30">
        <f t="shared" ref="AM50:AO50" si="0">SUM(AM6:AM49)</f>
        <v>21600</v>
      </c>
      <c r="AN50" s="30">
        <f t="shared" si="0"/>
        <v>0</v>
      </c>
      <c r="AO50" s="30">
        <f t="shared" si="0"/>
        <v>63000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BX50"/>
  <sheetViews>
    <sheetView zoomScale="110" zoomScaleNormal="110" workbookViewId="0">
      <pane xSplit="4" ySplit="5" topLeftCell="BC33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8.33203125" customWidth="1"/>
    <col min="40" max="40" width="6.109375" customWidth="1"/>
    <col min="41" max="41" width="10.33203125" style="74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68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0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75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1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L17" s="419"/>
      <c r="AM17" s="419"/>
      <c r="AN17" s="419"/>
      <c r="AO17" s="76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 ht="15.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M18" s="419"/>
      <c r="AN18" s="419"/>
      <c r="AO18" s="808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 ht="22.5" customHeight="1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414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825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418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418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419"/>
      <c r="AN32" s="419"/>
      <c r="AO32" s="76"/>
      <c r="AP32" s="53"/>
      <c r="AQ32" s="330"/>
      <c r="AR32" s="330"/>
      <c r="AS32" s="330"/>
      <c r="AT32" s="330"/>
      <c r="AU32" s="330"/>
      <c r="AV32" s="330"/>
      <c r="AW32" s="319"/>
      <c r="AX32" s="31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M32" s="418"/>
      <c r="BN32" s="418"/>
      <c r="BO32" s="418"/>
      <c r="BP32" s="418"/>
      <c r="BQ32" s="418"/>
      <c r="BR32" s="414"/>
      <c r="BS32" s="418"/>
      <c r="BT32" s="418"/>
      <c r="BU32" s="418"/>
      <c r="BV32" s="418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87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8"/>
      <c r="BL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4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723"/>
      <c r="AN35" s="419"/>
      <c r="AO35" s="76"/>
      <c r="AP35" s="53"/>
      <c r="AQ35" s="416"/>
      <c r="AR35" s="416"/>
      <c r="AS35" s="417"/>
      <c r="AT35" s="416"/>
      <c r="AU35" s="417"/>
      <c r="AV35" s="417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3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3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1'!A43</f>
        <v>41</v>
      </c>
      <c r="B43" s="418" t="str">
        <f>'BANG LUONG 1'!B44</f>
        <v>NV45</v>
      </c>
      <c r="C43" s="418" t="str">
        <f>'BANG LUONG 1'!C45</f>
        <v>Nguyễn Đình Tâm</v>
      </c>
      <c r="D43" s="418" t="str">
        <f>'BANG LUONG 1'!D44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1'!B45</f>
        <v>NV49</v>
      </c>
      <c r="C44" s="418" t="str">
        <f>'BANG LUONG 1'!C46</f>
        <v>Nguyễn Văn Chương</v>
      </c>
      <c r="D44" s="418" t="str">
        <f>'BANG LUONG 1'!D45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2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BX50"/>
  <sheetViews>
    <sheetView zoomScaleNormal="100" workbookViewId="0">
      <pane xSplit="4" ySplit="5" topLeftCell="AZ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X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10.6640625" customWidth="1"/>
    <col min="39" max="39" width="8" bestFit="1" customWidth="1"/>
    <col min="40" max="40" width="8.44140625" customWidth="1"/>
    <col min="41" max="41" width="9.33203125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68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388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109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109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70"/>
      <c r="AM5" s="70"/>
      <c r="AN5" s="395"/>
      <c r="AO5" s="395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L17" s="30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 ht="22.5" customHeight="1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108">
        <f>SUM(AL6:AL49)</f>
        <v>0</v>
      </c>
      <c r="AM50" s="108">
        <f t="shared" ref="AM50:AO50" si="0">SUM(AM6:AM49)</f>
        <v>0</v>
      </c>
      <c r="AN50" s="108">
        <f t="shared" si="0"/>
        <v>0</v>
      </c>
      <c r="AO50" s="108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BX50"/>
  <sheetViews>
    <sheetView zoomScale="96" zoomScaleNormal="96" workbookViewId="0">
      <pane xSplit="4" ySplit="5" topLeftCell="AS6" activePane="bottomRight" state="frozen"/>
      <selection activeCell="R40" sqref="R40"/>
      <selection pane="topRight" activeCell="R40" sqref="R40"/>
      <selection pane="bottomLeft" activeCell="R40" sqref="R40"/>
      <selection pane="bottomRight" activeCell="BD6" sqref="BD6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8" bestFit="1" customWidth="1"/>
    <col min="40" max="40" width="6.109375" customWidth="1"/>
    <col min="41" max="41" width="9.6640625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68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388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109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395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 s="831" customFormat="1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 ht="22.5" customHeight="1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39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39">
      <c r="AL50" s="30">
        <f>SUM(AL6:AL49)</f>
        <v>0</v>
      </c>
      <c r="AM50" s="30">
        <f>SUM(AM6:AM49)</f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BX50"/>
  <sheetViews>
    <sheetView zoomScaleNormal="100" workbookViewId="0">
      <pane xSplit="4" ySplit="5" topLeftCell="AY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9" width="6.109375" customWidth="1"/>
    <col min="10" max="10" width="7.5546875" customWidth="1"/>
    <col min="11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10.33203125" bestFit="1" customWidth="1"/>
    <col min="39" max="39" width="8" customWidth="1"/>
    <col min="40" max="40" width="6.109375" customWidth="1"/>
    <col min="41" max="41" width="9.33203125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388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109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109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70"/>
      <c r="AM5" s="70"/>
      <c r="AN5" s="395"/>
      <c r="AO5" s="395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L17" s="30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108">
        <f>SUM(AL6:AL49)</f>
        <v>0</v>
      </c>
      <c r="AM50" s="108">
        <f t="shared" ref="AM50:AO50" si="0">SUM(AM6:AM49)</f>
        <v>0</v>
      </c>
      <c r="AN50" s="108">
        <f t="shared" si="0"/>
        <v>0</v>
      </c>
      <c r="AO50" s="108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BX49"/>
  <sheetViews>
    <sheetView zoomScaleNormal="100" workbookViewId="0">
      <pane xSplit="4" ySplit="5" topLeftCell="AZ38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customWidth="1"/>
    <col min="39" max="39" width="8" bestFit="1" customWidth="1"/>
    <col min="40" max="40" width="6.109375" customWidth="1"/>
    <col min="41" max="41" width="9.33203125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388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109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109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70"/>
      <c r="AM5" s="70"/>
      <c r="AN5" s="395"/>
      <c r="AO5" s="395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419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L17" s="30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419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>
        <f>'BANG LUONG 1'!A45</f>
        <v>0</v>
      </c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76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904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905"/>
      <c r="AL49" s="117"/>
      <c r="AM49" s="117"/>
      <c r="AN49" s="117"/>
      <c r="AO49" s="906"/>
      <c r="AP49" s="905"/>
      <c r="AQ49" s="907"/>
      <c r="AR49" s="907"/>
      <c r="AS49" s="907"/>
      <c r="AT49" s="907"/>
      <c r="AU49" s="907"/>
      <c r="AV49" s="907"/>
      <c r="AW49" s="908"/>
      <c r="AX49" s="908"/>
      <c r="AY49" s="908"/>
      <c r="AZ49" s="908"/>
      <c r="BA49" s="908"/>
      <c r="BB49" s="908"/>
      <c r="BC49" s="909"/>
      <c r="BD49" s="905"/>
      <c r="BE49" s="903"/>
      <c r="BF49" s="903"/>
      <c r="BG49" s="903"/>
      <c r="BH49" s="903"/>
      <c r="BI49" s="905"/>
      <c r="BJ49" s="903"/>
      <c r="BK49" s="903"/>
      <c r="BL49" s="903"/>
      <c r="BM49" s="903"/>
      <c r="BN49" s="903"/>
      <c r="BO49" s="903"/>
      <c r="BP49" s="903"/>
      <c r="BQ49" s="903"/>
      <c r="BR49" s="910"/>
      <c r="BS49" s="903"/>
      <c r="BT49" s="903"/>
      <c r="BU49" s="903"/>
      <c r="BV49" s="903"/>
      <c r="BW49" s="903"/>
      <c r="BX49" s="905"/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X50"/>
  <sheetViews>
    <sheetView zoomScale="106" zoomScaleNormal="106" workbookViewId="0">
      <pane xSplit="4" ySplit="5" topLeftCell="AZ35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6.4414062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8.33203125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8" style="30" bestFit="1" customWidth="1"/>
    <col min="39" max="39" width="8.5546875" customWidth="1"/>
    <col min="40" max="40" width="6.109375" customWidth="1"/>
    <col min="41" max="41" width="10.33203125" style="30" bestFit="1" customWidth="1"/>
    <col min="42" max="42" width="2.6640625" customWidth="1"/>
    <col min="43" max="43" width="4.88671875" style="334" customWidth="1"/>
    <col min="44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71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135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76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904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905"/>
      <c r="AL49" s="117"/>
      <c r="AM49" s="117"/>
      <c r="AN49" s="117"/>
      <c r="AO49" s="906"/>
      <c r="AP49" s="905"/>
      <c r="AQ49" s="907"/>
      <c r="AR49" s="907"/>
      <c r="AS49" s="907"/>
      <c r="AT49" s="907"/>
      <c r="AU49" s="907"/>
      <c r="AV49" s="907"/>
      <c r="AW49" s="908"/>
      <c r="AX49" s="908"/>
      <c r="AY49" s="908"/>
      <c r="AZ49" s="908"/>
      <c r="BA49" s="908"/>
      <c r="BB49" s="908"/>
      <c r="BC49" s="909"/>
      <c r="BD49" s="905"/>
      <c r="BE49" s="903"/>
      <c r="BF49" s="903"/>
      <c r="BG49" s="903"/>
      <c r="BH49" s="903"/>
      <c r="BI49" s="905"/>
      <c r="BJ49" s="903"/>
      <c r="BK49" s="903"/>
      <c r="BL49" s="903"/>
      <c r="BM49" s="903"/>
      <c r="BN49" s="903"/>
      <c r="BO49" s="903"/>
      <c r="BP49" s="903"/>
      <c r="BQ49" s="903"/>
      <c r="BR49" s="910"/>
      <c r="BS49" s="903"/>
      <c r="BT49" s="903"/>
      <c r="BU49" s="903"/>
      <c r="BV49" s="903"/>
      <c r="BW49" s="903"/>
      <c r="BX49" s="905"/>
    </row>
    <row r="50" spans="1:76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BE3:BH3"/>
    <mergeCell ref="BJ3:BV3"/>
    <mergeCell ref="E5:S5"/>
    <mergeCell ref="E3:S3"/>
    <mergeCell ref="V3:AJ3"/>
    <mergeCell ref="AL3:AM3"/>
    <mergeCell ref="AQ3:BC3"/>
  </mergeCells>
  <pageMargins left="0.2" right="0.2" top="0.2" bottom="0.2" header="0.22" footer="0.2"/>
  <pageSetup paperSize="9" scale="2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X50"/>
  <sheetViews>
    <sheetView zoomScaleNormal="100" workbookViewId="0">
      <pane xSplit="4" ySplit="5" topLeftCell="AZ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12" customWidth="1"/>
    <col min="39" max="39" width="9.5546875" style="30" customWidth="1"/>
    <col min="40" max="40" width="7.6640625" bestFit="1" customWidth="1"/>
    <col min="41" max="41" width="12.44140625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388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109" t="str">
        <f>'Công tổng'!AL4</f>
        <v>Bùn Bình Hưng</v>
      </c>
      <c r="AM4" s="643" t="str">
        <f>'Công tổng'!AM4</f>
        <v>Bùn Bình Hưng Hòa</v>
      </c>
      <c r="AN4" s="109" t="str">
        <f>'Công tổng'!AN4</f>
        <v>Xử lý bùn Tân Hóa - Lò gốm</v>
      </c>
      <c r="AO4" s="109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70"/>
      <c r="AM5" s="645"/>
      <c r="AN5" s="395"/>
      <c r="AO5" s="395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21"/>
      <c r="AM7" s="41"/>
      <c r="AN7" s="421"/>
      <c r="AO7" s="421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21"/>
      <c r="AM8" s="41"/>
      <c r="AN8" s="421"/>
      <c r="AO8" s="421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21"/>
      <c r="AM9" s="41"/>
      <c r="AN9" s="421"/>
      <c r="AO9" s="421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21"/>
      <c r="AM10" s="41"/>
      <c r="AN10" s="421"/>
      <c r="AO10" s="421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21"/>
      <c r="AM11" s="41"/>
      <c r="AN11" s="421"/>
      <c r="AO11" s="421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21"/>
      <c r="AM12" s="41"/>
      <c r="AN12" s="421"/>
      <c r="AO12" s="421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21"/>
      <c r="AM13" s="41"/>
      <c r="AN13" s="421"/>
      <c r="AO13" s="421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21"/>
      <c r="AM14" s="41"/>
      <c r="AN14" s="421"/>
      <c r="AO14" s="421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21"/>
      <c r="AM15" s="41"/>
      <c r="AN15" s="421"/>
      <c r="AO15" s="421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21"/>
      <c r="AM16" s="41"/>
      <c r="AN16" s="421"/>
      <c r="AO16" s="421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L17" s="41"/>
      <c r="AM17" s="419"/>
      <c r="AN17" s="419"/>
      <c r="AO17" s="89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21"/>
      <c r="AM32" s="41"/>
      <c r="AN32" s="421"/>
      <c r="AO32" s="421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76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904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905"/>
      <c r="AL49" s="117"/>
      <c r="AM49" s="117"/>
      <c r="AN49" s="117"/>
      <c r="AO49" s="906"/>
      <c r="AP49" s="905"/>
      <c r="AQ49" s="907"/>
      <c r="AR49" s="907"/>
      <c r="AS49" s="907"/>
      <c r="AT49" s="907"/>
      <c r="AU49" s="907"/>
      <c r="AV49" s="907"/>
      <c r="AW49" s="908"/>
      <c r="AX49" s="908"/>
      <c r="AY49" s="908"/>
      <c r="AZ49" s="908"/>
      <c r="BA49" s="908"/>
      <c r="BB49" s="908"/>
      <c r="BC49" s="909"/>
      <c r="BD49" s="905"/>
      <c r="BE49" s="903"/>
      <c r="BF49" s="903"/>
      <c r="BG49" s="903"/>
      <c r="BH49" s="903"/>
      <c r="BI49" s="905"/>
      <c r="BJ49" s="903"/>
      <c r="BK49" s="903"/>
      <c r="BL49" s="903"/>
      <c r="BM49" s="903"/>
      <c r="BN49" s="903"/>
      <c r="BO49" s="903"/>
      <c r="BP49" s="903"/>
      <c r="BQ49" s="903"/>
      <c r="BR49" s="910"/>
      <c r="BS49" s="903"/>
      <c r="BT49" s="903"/>
      <c r="BU49" s="903"/>
      <c r="BV49" s="903"/>
      <c r="BW49" s="903"/>
      <c r="BX49" s="905"/>
    </row>
    <row r="50" spans="1:76">
      <c r="AL50" s="108">
        <f>SUM(AL6:AL49)</f>
        <v>0</v>
      </c>
      <c r="AM50" s="108">
        <f t="shared" ref="AM50:AO50" si="0">SUM(AM6:AM49)</f>
        <v>0</v>
      </c>
      <c r="AN50" s="108">
        <f t="shared" si="0"/>
        <v>0</v>
      </c>
      <c r="AO50" s="108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X50"/>
  <sheetViews>
    <sheetView zoomScale="106" zoomScaleNormal="106" workbookViewId="0">
      <pane xSplit="4" ySplit="5" topLeftCell="AJ34" activePane="bottomRight" state="frozen"/>
      <selection activeCell="R40" sqref="R40"/>
      <selection pane="topRight" activeCell="R40" sqref="R40"/>
      <selection pane="bottomLeft" activeCell="R40" sqref="R40"/>
      <selection pane="bottomRight" activeCell="AT43" sqref="AT43"/>
    </sheetView>
  </sheetViews>
  <sheetFormatPr defaultColWidth="9.109375" defaultRowHeight="14.4"/>
  <cols>
    <col min="1" max="1" width="4.6640625" style="447" customWidth="1"/>
    <col min="2" max="2" width="7.88671875" style="447" customWidth="1"/>
    <col min="3" max="3" width="18.6640625" style="447" customWidth="1"/>
    <col min="4" max="4" width="11.44140625" style="447" bestFit="1" customWidth="1"/>
    <col min="5" max="20" width="6.109375" style="447" customWidth="1"/>
    <col min="21" max="21" width="3.44140625" style="447" customWidth="1"/>
    <col min="22" max="24" width="6.109375" style="447" customWidth="1"/>
    <col min="25" max="25" width="7" style="447" bestFit="1" customWidth="1"/>
    <col min="26" max="26" width="5.109375" style="447" bestFit="1" customWidth="1"/>
    <col min="27" max="27" width="7" style="447" bestFit="1" customWidth="1"/>
    <col min="28" max="36" width="6.109375" style="447" customWidth="1"/>
    <col min="37" max="37" width="2.6640625" style="447" customWidth="1"/>
    <col min="38" max="38" width="10.5546875" style="646" customWidth="1"/>
    <col min="39" max="39" width="10.6640625" style="447" customWidth="1"/>
    <col min="40" max="40" width="6.109375" style="447" customWidth="1"/>
    <col min="41" max="41" width="11.44140625" style="447" customWidth="1"/>
    <col min="42" max="42" width="2.6640625" style="447" customWidth="1"/>
    <col min="43" max="48" width="6.44140625" style="453" customWidth="1"/>
    <col min="49" max="54" width="6.44140625" style="454" customWidth="1"/>
    <col min="55" max="55" width="6.44140625" style="455" customWidth="1"/>
    <col min="56" max="56" width="4.33203125" style="447" customWidth="1"/>
    <col min="57" max="60" width="6.44140625" style="447" customWidth="1"/>
    <col min="61" max="61" width="4" style="447" customWidth="1"/>
    <col min="62" max="63" width="6.44140625" style="447" customWidth="1"/>
    <col min="64" max="64" width="8.33203125" style="447" customWidth="1"/>
    <col min="65" max="71" width="6.44140625" style="447" customWidth="1"/>
    <col min="72" max="72" width="5" style="447" customWidth="1"/>
    <col min="73" max="75" width="6.44140625" style="447" customWidth="1"/>
    <col min="76" max="76" width="3.6640625" style="447" customWidth="1"/>
    <col min="77" max="16384" width="9.109375" style="447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544" t="s">
        <v>0</v>
      </c>
      <c r="B3" s="544" t="s">
        <v>284</v>
      </c>
      <c r="C3" s="544" t="s">
        <v>2</v>
      </c>
      <c r="D3" s="544" t="s">
        <v>3</v>
      </c>
      <c r="E3" s="1060" t="s">
        <v>285</v>
      </c>
      <c r="F3" s="1060"/>
      <c r="G3" s="1060"/>
      <c r="H3" s="1060"/>
      <c r="I3" s="1060"/>
      <c r="J3" s="1060"/>
      <c r="K3" s="1060"/>
      <c r="L3" s="1060"/>
      <c r="M3" s="1060"/>
      <c r="N3" s="1060"/>
      <c r="O3" s="1060"/>
      <c r="P3" s="1060"/>
      <c r="Q3" s="1060"/>
      <c r="R3" s="1060"/>
      <c r="S3" s="1060"/>
      <c r="T3" s="544"/>
      <c r="U3" s="456"/>
      <c r="V3" s="1060" t="s">
        <v>283</v>
      </c>
      <c r="W3" s="1060"/>
      <c r="X3" s="1060"/>
      <c r="Y3" s="1060"/>
      <c r="Z3" s="1060"/>
      <c r="AA3" s="1060"/>
      <c r="AB3" s="1060"/>
      <c r="AC3" s="1060"/>
      <c r="AD3" s="1060"/>
      <c r="AE3" s="1060"/>
      <c r="AF3" s="1060"/>
      <c r="AG3" s="1060"/>
      <c r="AH3" s="1060"/>
      <c r="AI3" s="1060"/>
      <c r="AJ3" s="1060"/>
      <c r="AK3" s="456"/>
      <c r="AL3" s="1047" t="s">
        <v>295</v>
      </c>
      <c r="AM3" s="1049"/>
      <c r="AN3" s="457"/>
      <c r="AO3" s="457"/>
      <c r="AP3" s="458"/>
      <c r="AQ3" s="1057" t="s">
        <v>286</v>
      </c>
      <c r="AR3" s="1058"/>
      <c r="AS3" s="1058"/>
      <c r="AT3" s="1058"/>
      <c r="AU3" s="1058"/>
      <c r="AV3" s="1058"/>
      <c r="AW3" s="1058"/>
      <c r="AX3" s="1058"/>
      <c r="AY3" s="1058"/>
      <c r="AZ3" s="1058"/>
      <c r="BA3" s="1058"/>
      <c r="BB3" s="1058"/>
      <c r="BC3" s="1059"/>
      <c r="BD3" s="456"/>
      <c r="BE3" s="1047" t="s">
        <v>682</v>
      </c>
      <c r="BF3" s="1048"/>
      <c r="BG3" s="1048"/>
      <c r="BH3" s="1048"/>
      <c r="BI3" s="456"/>
      <c r="BJ3" s="1047" t="s">
        <v>287</v>
      </c>
      <c r="BK3" s="1048"/>
      <c r="BL3" s="1048"/>
      <c r="BM3" s="1048"/>
      <c r="BN3" s="1048"/>
      <c r="BO3" s="1048"/>
      <c r="BP3" s="1048"/>
      <c r="BQ3" s="1048"/>
      <c r="BR3" s="1048"/>
      <c r="BS3" s="1048"/>
      <c r="BT3" s="1048"/>
      <c r="BU3" s="1048"/>
      <c r="BV3" s="1049"/>
      <c r="BW3" s="459"/>
      <c r="BX3" s="456"/>
    </row>
    <row r="4" spans="1:76" s="466" customFormat="1" ht="78.599999999999994">
      <c r="A4" s="49"/>
      <c r="B4" s="49"/>
      <c r="C4" s="49"/>
      <c r="D4" s="450"/>
      <c r="E4" s="451" t="str">
        <f>'Công tổng'!E4</f>
        <v>BX-bao 3dm3</v>
      </c>
      <c r="F4" s="451" t="str">
        <f>'Công tổng'!F4</f>
        <v>BX-bao 5dm3</v>
      </c>
      <c r="G4" s="451" t="str">
        <f>'Công tổng'!G4</f>
        <v>BX-bao 10dm3</v>
      </c>
      <c r="H4" s="451" t="str">
        <f>'Công tổng'!H4</f>
        <v>BX-bao 20dm3</v>
      </c>
      <c r="I4" s="451" t="str">
        <f>'Công tổng'!I4</f>
        <v>BX-bao 40dm3</v>
      </c>
      <c r="J4" s="451" t="str">
        <f>'Công tổng'!J4</f>
        <v>BX-bao 50dm3</v>
      </c>
      <c r="K4" s="451" t="str">
        <f>'Công tổng'!K4</f>
        <v>BX-bao 100dm3</v>
      </c>
      <c r="L4" s="451" t="str">
        <f>'Công tổng'!L4</f>
        <v>BX-bao 0,2kg</v>
      </c>
      <c r="M4" s="451" t="str">
        <f>'Công tổng'!M4</f>
        <v>BX-bao 0,5 kg</v>
      </c>
      <c r="N4" s="451" t="str">
        <f>'Công tổng'!N4</f>
        <v>BX-bao 01kg</v>
      </c>
      <c r="O4" s="451" t="str">
        <f>'Công tổng'!O4</f>
        <v>BX-bao 10kg</v>
      </c>
      <c r="P4" s="451" t="str">
        <f>'Công tổng'!P4</f>
        <v>BX-bao 25kg</v>
      </c>
      <c r="Q4" s="451" t="str">
        <f>'Công tổng'!Q4</f>
        <v>BX-bao 35kg</v>
      </c>
      <c r="R4" s="451" t="str">
        <f>'Công tổng'!R4</f>
        <v>BX-bao 40kg</v>
      </c>
      <c r="S4" s="451" t="str">
        <f>'Công tổng'!S4</f>
        <v>BX-bao 50kg</v>
      </c>
      <c r="T4" s="451" t="str">
        <f>'Công tổng'!T4</f>
        <v>BX-HÀNG LINH TINH</v>
      </c>
      <c r="U4" s="460"/>
      <c r="V4" s="451" t="str">
        <f>'Công tổng'!V4</f>
        <v>SX-bao 3dm3</v>
      </c>
      <c r="W4" s="451" t="str">
        <f>'Công tổng'!W4</f>
        <v>SX-bao 5dm3</v>
      </c>
      <c r="X4" s="451" t="str">
        <f>'Công tổng'!X4</f>
        <v>SX-bao 10dm3</v>
      </c>
      <c r="Y4" s="451" t="str">
        <f>'Công tổng'!Y4</f>
        <v>SX-bao 20dm3</v>
      </c>
      <c r="Z4" s="451" t="str">
        <f>'Công tổng'!Z4</f>
        <v>SX-bao 40dm3</v>
      </c>
      <c r="AA4" s="451" t="str">
        <f>'Công tổng'!AA4</f>
        <v>SX-bao 50dm3</v>
      </c>
      <c r="AB4" s="451" t="str">
        <f>'Công tổng'!AB4</f>
        <v>SX-bao 100dm3</v>
      </c>
      <c r="AC4" s="451" t="str">
        <f>'Công tổng'!AC4</f>
        <v>SX-bao 0,2kg</v>
      </c>
      <c r="AD4" s="451" t="str">
        <f>'Công tổng'!AD4</f>
        <v>SX-bao 0,5 kg</v>
      </c>
      <c r="AE4" s="451" t="str">
        <f>'Công tổng'!AE4</f>
        <v>SX-bao 01kg</v>
      </c>
      <c r="AF4" s="451" t="str">
        <f>'Công tổng'!AF4</f>
        <v>SX-bao 10kg</v>
      </c>
      <c r="AG4" s="451" t="str">
        <f>'Công tổng'!AG4</f>
        <v>SX-bao 25kg</v>
      </c>
      <c r="AH4" s="451" t="str">
        <f>'Công tổng'!AH4</f>
        <v>SX-bao 35kg</v>
      </c>
      <c r="AI4" s="451" t="str">
        <f>'Công tổng'!AI4</f>
        <v>SX-bao 40kg</v>
      </c>
      <c r="AJ4" s="451" t="str">
        <f>'Công tổng'!AJ4</f>
        <v>SX-bao 50kg</v>
      </c>
      <c r="AK4" s="460"/>
      <c r="AL4" s="647" t="str">
        <f>'Công tổng'!AL4</f>
        <v>Bùn Bình Hưng</v>
      </c>
      <c r="AM4" s="461" t="str">
        <f>'Công tổng'!AM4</f>
        <v>Bùn Bình Hưng Hòa</v>
      </c>
      <c r="AN4" s="461" t="str">
        <f>'Công tổng'!AN4</f>
        <v>Xử lý bùn Tân Hóa - Lò gốm</v>
      </c>
      <c r="AO4" s="461" t="str">
        <f>'Công tổng'!AO4</f>
        <v>Xử lý bùn Duy tu</v>
      </c>
      <c r="AP4" s="462"/>
      <c r="AQ4" s="463" t="str">
        <f>'Công tổng'!AQ4</f>
        <v>Lái xe xúc</v>
      </c>
      <c r="AR4" s="463" t="str">
        <f>'Công tổng'!AR4</f>
        <v>Lái xe múc (Xe Kobel)</v>
      </c>
      <c r="AS4" s="463" t="str">
        <f>'Công tổng'!AS4</f>
        <v>Lái xe ủi</v>
      </c>
      <c r="AT4" s="463" t="str">
        <f>'Công tổng'!AT4</f>
        <v>Lái xe Ben</v>
      </c>
      <c r="AU4" s="463" t="str">
        <f>'Công tổng'!AU4</f>
        <v>Lái xe nâng</v>
      </c>
      <c r="AV4" s="463" t="str">
        <f>'Công tổng'!AV4</f>
        <v>Lái xe máy xới</v>
      </c>
      <c r="AW4" s="464" t="str">
        <f>'Công tổng'!AW4</f>
        <v>Lái xe xúc</v>
      </c>
      <c r="AX4" s="464" t="str">
        <f>'Công tổng'!AX4</f>
        <v>Lái xe múc</v>
      </c>
      <c r="AY4" s="464" t="str">
        <f>'Công tổng'!AY4</f>
        <v>Lái xe ủi</v>
      </c>
      <c r="AZ4" s="464" t="str">
        <f>'Công tổng'!AZ4</f>
        <v>Lái xe Ben</v>
      </c>
      <c r="BA4" s="464" t="str">
        <f>'Công tổng'!BA4</f>
        <v>Lái xe nâng</v>
      </c>
      <c r="BB4" s="464" t="str">
        <f>'Công tổng'!BB4</f>
        <v>Lái xe máy xới</v>
      </c>
      <c r="BC4" s="465" t="str">
        <f>'Công tổng'!BC4</f>
        <v>Lái xe múc</v>
      </c>
      <c r="BD4" s="460"/>
      <c r="BE4" s="451" t="str">
        <f>'Công tổng'!BE4</f>
        <v>Đứng máy xay phân bò</v>
      </c>
      <c r="BF4" s="451" t="str">
        <f>'Công tổng'!BF4</f>
        <v>Đứng máy T-O</v>
      </c>
      <c r="BG4" s="451" t="str">
        <f>'Công tổng'!BG4</f>
        <v>Đứng máy xay T-MB</v>
      </c>
      <c r="BH4" s="451">
        <f>'Công tổng'!BH4</f>
        <v>0</v>
      </c>
      <c r="BI4" s="460"/>
      <c r="BJ4" s="451" t="str">
        <f>'Công tổng'!BJ4</f>
        <v>Làm vườn rau</v>
      </c>
      <c r="BK4" s="451" t="str">
        <f>'Công tổng'!BK4</f>
        <v>Việc linh tinh khác</v>
      </c>
      <c r="BL4" s="451" t="str">
        <f>'Công tổng'!BL4</f>
        <v>Lượm rác, đá (xử lý sơ bộ)</v>
      </c>
      <c r="BM4" s="451" t="str">
        <f>'Công tổng'!BM4</f>
        <v>Dọn vệ sinh</v>
      </c>
      <c r="BN4" s="451" t="str">
        <f>'Công tổng'!BN4</f>
        <v>Trồng cây</v>
      </c>
      <c r="BO4" s="451" t="str">
        <f>'Công tổng'!BO4</f>
        <v>Tưới bãi NVL, tưới đường, Tưới cây</v>
      </c>
      <c r="BP4" s="451" t="str">
        <f>'Công tổng'!BP4</f>
        <v>Bơm nước</v>
      </c>
      <c r="BQ4" s="451" t="str">
        <f>'Công tổng'!BQ4</f>
        <v>Xổ tro, phân bò</v>
      </c>
      <c r="BR4" s="451" t="str">
        <f>'Công tổng'!BR4</f>
        <v>kéo mở, đậy bạt</v>
      </c>
      <c r="BS4" s="451" t="str">
        <f>'Công tổng'!BS4</f>
        <v>Đóng date, dán nhãn</v>
      </c>
      <c r="BT4" s="451" t="str">
        <f>'Công tổng'!BT4</f>
        <v>làm kho</v>
      </c>
      <c r="BU4" s="451" t="str">
        <f>'Công tổng'!BU4</f>
        <v>Làm cỏ</v>
      </c>
      <c r="BV4" s="451" t="str">
        <f>'Công tổng'!BV4</f>
        <v>Sửa chữa +phụ sửa xe+ sửa máy khác</v>
      </c>
      <c r="BW4" s="451" t="str">
        <f>'Công tổng'!BW4</f>
        <v>Làm điện</v>
      </c>
      <c r="BX4" s="460"/>
    </row>
    <row r="5" spans="1:76" s="46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60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60"/>
      <c r="AL5" s="648"/>
      <c r="AM5" s="452"/>
      <c r="AN5" s="467"/>
      <c r="AO5" s="467"/>
      <c r="AP5" s="462"/>
      <c r="AQ5" s="463"/>
      <c r="AR5" s="463"/>
      <c r="AS5" s="463"/>
      <c r="AT5" s="463"/>
      <c r="AU5" s="463"/>
      <c r="AV5" s="463"/>
      <c r="AW5" s="464"/>
      <c r="AX5" s="464"/>
      <c r="AY5" s="464"/>
      <c r="AZ5" s="464"/>
      <c r="BA5" s="464"/>
      <c r="BB5" s="464"/>
      <c r="BC5" s="465"/>
      <c r="BD5" s="460"/>
      <c r="BE5" s="452"/>
      <c r="BF5" s="452"/>
      <c r="BG5" s="452"/>
      <c r="BH5" s="452"/>
      <c r="BI5" s="460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60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 ht="14.25" customHeight="1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R12" s="334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L17" s="30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customFormat="1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 customFormat="1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 customFormat="1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 customFormat="1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 customFormat="1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 customFormat="1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 customFormat="1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M32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646">
        <f>SUM(AL6:AL49)</f>
        <v>0</v>
      </c>
      <c r="AM50" s="646">
        <f t="shared" ref="AM50:AO50" si="0">SUM(AM6:AM49)</f>
        <v>0</v>
      </c>
      <c r="AN50" s="646">
        <f t="shared" si="0"/>
        <v>0</v>
      </c>
      <c r="AO50" s="646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X50"/>
  <sheetViews>
    <sheetView zoomScaleNormal="100" workbookViewId="0">
      <pane xSplit="4" ySplit="5" topLeftCell="AY33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11.5546875" customWidth="1"/>
    <col min="39" max="39" width="8.109375" style="646" customWidth="1"/>
    <col min="40" max="40" width="6.109375" customWidth="1"/>
    <col min="41" max="41" width="9.332031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A1" s="447"/>
      <c r="B1" s="447"/>
      <c r="C1" s="448" t="s">
        <v>300</v>
      </c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</row>
    <row r="2" spans="1:76">
      <c r="A2" s="447"/>
      <c r="B2" s="447"/>
      <c r="C2" s="449" t="s">
        <v>561</v>
      </c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</row>
    <row r="3" spans="1:76">
      <c r="A3" s="553" t="s">
        <v>0</v>
      </c>
      <c r="B3" s="553" t="s">
        <v>284</v>
      </c>
      <c r="C3" s="553" t="s">
        <v>2</v>
      </c>
      <c r="D3" s="553" t="s">
        <v>3</v>
      </c>
      <c r="E3" s="1060" t="s">
        <v>285</v>
      </c>
      <c r="F3" s="1060"/>
      <c r="G3" s="1060"/>
      <c r="H3" s="1060"/>
      <c r="I3" s="1060"/>
      <c r="J3" s="1060"/>
      <c r="K3" s="1060"/>
      <c r="L3" s="1060"/>
      <c r="M3" s="1060"/>
      <c r="N3" s="1060"/>
      <c r="O3" s="1060"/>
      <c r="P3" s="1060"/>
      <c r="Q3" s="1060"/>
      <c r="R3" s="1060"/>
      <c r="S3" s="1060"/>
      <c r="T3" s="553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450"/>
      <c r="E4" s="451" t="str">
        <f>'Công tổng'!E4</f>
        <v>BX-bao 3dm3</v>
      </c>
      <c r="F4" s="451" t="str">
        <f>'Công tổng'!F4</f>
        <v>BX-bao 5dm3</v>
      </c>
      <c r="G4" s="451" t="str">
        <f>'Công tổng'!G4</f>
        <v>BX-bao 10dm3</v>
      </c>
      <c r="H4" s="451" t="str">
        <f>'Công tổng'!H4</f>
        <v>BX-bao 20dm3</v>
      </c>
      <c r="I4" s="451" t="str">
        <f>'Công tổng'!I4</f>
        <v>BX-bao 40dm3</v>
      </c>
      <c r="J4" s="451" t="str">
        <f>'Công tổng'!J4</f>
        <v>BX-bao 50dm3</v>
      </c>
      <c r="K4" s="451" t="str">
        <f>'Công tổng'!K4</f>
        <v>BX-bao 100dm3</v>
      </c>
      <c r="L4" s="451" t="str">
        <f>'Công tổng'!L4</f>
        <v>BX-bao 0,2kg</v>
      </c>
      <c r="M4" s="451" t="str">
        <f>'Công tổng'!M4</f>
        <v>BX-bao 0,5 kg</v>
      </c>
      <c r="N4" s="451" t="str">
        <f>'Công tổng'!N4</f>
        <v>BX-bao 01kg</v>
      </c>
      <c r="O4" s="451" t="str">
        <f>'Công tổng'!O4</f>
        <v>BX-bao 10kg</v>
      </c>
      <c r="P4" s="451" t="str">
        <f>'Công tổng'!P4</f>
        <v>BX-bao 25kg</v>
      </c>
      <c r="Q4" s="451" t="str">
        <f>'Công tổng'!Q4</f>
        <v>BX-bao 35kg</v>
      </c>
      <c r="R4" s="451" t="str">
        <f>'Công tổng'!R4</f>
        <v>BX-bao 40kg</v>
      </c>
      <c r="S4" s="451" t="str">
        <f>'Công tổng'!S4</f>
        <v>BX-bao 50kg</v>
      </c>
      <c r="T4" s="4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109" t="str">
        <f>'Công tổng'!AL4</f>
        <v>Bùn Bình Hưng</v>
      </c>
      <c r="AM4" s="647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70"/>
      <c r="AM5" s="648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L17" s="30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 s="554" customFormat="1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108">
        <f>SUM(AL6:AL49)</f>
        <v>0</v>
      </c>
      <c r="AM50" s="108">
        <f t="shared" ref="AM50:AO50" si="0">SUM(AM6:AM49)</f>
        <v>0</v>
      </c>
      <c r="AN50" s="108">
        <f t="shared" si="0"/>
        <v>0</v>
      </c>
      <c r="AO50" s="108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27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X50"/>
  <sheetViews>
    <sheetView zoomScaleNormal="100" workbookViewId="0">
      <pane xSplit="4" ySplit="5" topLeftCell="AZ31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ColWidth="9.109375" defaultRowHeight="14.4"/>
  <cols>
    <col min="1" max="1" width="4.6640625" style="447" customWidth="1"/>
    <col min="2" max="2" width="7.88671875" style="447" customWidth="1"/>
    <col min="3" max="3" width="18.6640625" style="447" customWidth="1"/>
    <col min="4" max="4" width="12.109375" style="447" bestFit="1" customWidth="1"/>
    <col min="5" max="20" width="6.109375" style="447" customWidth="1"/>
    <col min="21" max="21" width="3.44140625" style="447" customWidth="1"/>
    <col min="22" max="24" width="6.109375" style="447" customWidth="1"/>
    <col min="25" max="25" width="7" style="447" bestFit="1" customWidth="1"/>
    <col min="26" max="26" width="5.109375" style="447" bestFit="1" customWidth="1"/>
    <col min="27" max="27" width="7" style="447" bestFit="1" customWidth="1"/>
    <col min="28" max="36" width="6.109375" style="447" customWidth="1"/>
    <col min="37" max="37" width="2.6640625" style="447" customWidth="1"/>
    <col min="38" max="38" width="9.109375" style="646" customWidth="1"/>
    <col min="39" max="39" width="10.5546875" style="447" customWidth="1"/>
    <col min="40" max="40" width="6.109375" style="447" customWidth="1"/>
    <col min="41" max="41" width="9.33203125" style="646" bestFit="1" customWidth="1"/>
    <col min="42" max="42" width="2.6640625" style="447" customWidth="1"/>
    <col min="43" max="48" width="6.44140625" style="453" customWidth="1"/>
    <col min="49" max="54" width="6.44140625" style="454" customWidth="1"/>
    <col min="55" max="55" width="6.44140625" style="455" customWidth="1"/>
    <col min="56" max="56" width="4.33203125" style="447" customWidth="1"/>
    <col min="57" max="60" width="6.44140625" style="447" customWidth="1"/>
    <col min="61" max="61" width="4" style="447" customWidth="1"/>
    <col min="62" max="71" width="6.44140625" style="447" customWidth="1"/>
    <col min="72" max="72" width="5" style="447" customWidth="1"/>
    <col min="73" max="75" width="6.44140625" style="447" customWidth="1"/>
    <col min="76" max="76" width="3.6640625" style="447" customWidth="1"/>
    <col min="77" max="16384" width="9.109375" style="447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553" t="s">
        <v>0</v>
      </c>
      <c r="B3" s="553" t="s">
        <v>284</v>
      </c>
      <c r="C3" s="553" t="s">
        <v>2</v>
      </c>
      <c r="D3" s="553" t="s">
        <v>3</v>
      </c>
      <c r="E3" s="1060" t="s">
        <v>285</v>
      </c>
      <c r="F3" s="1060"/>
      <c r="G3" s="1060"/>
      <c r="H3" s="1060"/>
      <c r="I3" s="1060"/>
      <c r="J3" s="1060"/>
      <c r="K3" s="1060"/>
      <c r="L3" s="1060"/>
      <c r="M3" s="1060"/>
      <c r="N3" s="1060"/>
      <c r="O3" s="1060"/>
      <c r="P3" s="1060"/>
      <c r="Q3" s="1060"/>
      <c r="R3" s="1060"/>
      <c r="S3" s="1060"/>
      <c r="T3" s="553"/>
      <c r="U3" s="456"/>
      <c r="V3" s="1060" t="s">
        <v>283</v>
      </c>
      <c r="W3" s="1060"/>
      <c r="X3" s="1060"/>
      <c r="Y3" s="1060"/>
      <c r="Z3" s="1060"/>
      <c r="AA3" s="1060"/>
      <c r="AB3" s="1060"/>
      <c r="AC3" s="1060"/>
      <c r="AD3" s="1060"/>
      <c r="AE3" s="1060"/>
      <c r="AF3" s="1060"/>
      <c r="AG3" s="1060"/>
      <c r="AH3" s="1060"/>
      <c r="AI3" s="1060"/>
      <c r="AJ3" s="1060"/>
      <c r="AK3" s="456"/>
      <c r="AL3" s="1047" t="s">
        <v>295</v>
      </c>
      <c r="AM3" s="1049"/>
      <c r="AN3" s="551"/>
      <c r="AO3" s="649"/>
      <c r="AP3" s="458"/>
      <c r="AQ3" s="1057" t="s">
        <v>286</v>
      </c>
      <c r="AR3" s="1058"/>
      <c r="AS3" s="1058"/>
      <c r="AT3" s="1058"/>
      <c r="AU3" s="1058"/>
      <c r="AV3" s="1058"/>
      <c r="AW3" s="1058"/>
      <c r="AX3" s="1058"/>
      <c r="AY3" s="1058"/>
      <c r="AZ3" s="1058"/>
      <c r="BA3" s="1058"/>
      <c r="BB3" s="1058"/>
      <c r="BC3" s="1059"/>
      <c r="BD3" s="456"/>
      <c r="BE3" s="1047" t="s">
        <v>682</v>
      </c>
      <c r="BF3" s="1048"/>
      <c r="BG3" s="1048"/>
      <c r="BH3" s="1048"/>
      <c r="BI3" s="456"/>
      <c r="BJ3" s="1047" t="s">
        <v>287</v>
      </c>
      <c r="BK3" s="1048"/>
      <c r="BL3" s="1048"/>
      <c r="BM3" s="1048"/>
      <c r="BN3" s="1048"/>
      <c r="BO3" s="1048"/>
      <c r="BP3" s="1048"/>
      <c r="BQ3" s="1048"/>
      <c r="BR3" s="1048"/>
      <c r="BS3" s="1048"/>
      <c r="BT3" s="1048"/>
      <c r="BU3" s="1048"/>
      <c r="BV3" s="1049"/>
      <c r="BW3" s="552"/>
      <c r="BX3" s="456"/>
    </row>
    <row r="4" spans="1:76" s="466" customFormat="1" ht="78.599999999999994">
      <c r="A4" s="49"/>
      <c r="B4" s="49"/>
      <c r="C4" s="49"/>
      <c r="D4" s="450"/>
      <c r="E4" s="451" t="str">
        <f>'Công tổng'!E4</f>
        <v>BX-bao 3dm3</v>
      </c>
      <c r="F4" s="451" t="str">
        <f>'Công tổng'!F4</f>
        <v>BX-bao 5dm3</v>
      </c>
      <c r="G4" s="451" t="str">
        <f>'Công tổng'!G4</f>
        <v>BX-bao 10dm3</v>
      </c>
      <c r="H4" s="451" t="str">
        <f>'Công tổng'!H4</f>
        <v>BX-bao 20dm3</v>
      </c>
      <c r="I4" s="451" t="str">
        <f>'Công tổng'!I4</f>
        <v>BX-bao 40dm3</v>
      </c>
      <c r="J4" s="451" t="str">
        <f>'Công tổng'!J4</f>
        <v>BX-bao 50dm3</v>
      </c>
      <c r="K4" s="451" t="str">
        <f>'Công tổng'!K4</f>
        <v>BX-bao 100dm3</v>
      </c>
      <c r="L4" s="451" t="str">
        <f>'Công tổng'!L4</f>
        <v>BX-bao 0,2kg</v>
      </c>
      <c r="M4" s="451" t="str">
        <f>'Công tổng'!M4</f>
        <v>BX-bao 0,5 kg</v>
      </c>
      <c r="N4" s="451" t="str">
        <f>'Công tổng'!N4</f>
        <v>BX-bao 01kg</v>
      </c>
      <c r="O4" s="451" t="str">
        <f>'Công tổng'!O4</f>
        <v>BX-bao 10kg</v>
      </c>
      <c r="P4" s="451" t="str">
        <f>'Công tổng'!P4</f>
        <v>BX-bao 25kg</v>
      </c>
      <c r="Q4" s="451" t="str">
        <f>'Công tổng'!Q4</f>
        <v>BX-bao 35kg</v>
      </c>
      <c r="R4" s="451" t="str">
        <f>'Công tổng'!R4</f>
        <v>BX-bao 40kg</v>
      </c>
      <c r="S4" s="451" t="str">
        <f>'Công tổng'!S4</f>
        <v>BX-bao 50kg</v>
      </c>
      <c r="T4" s="451" t="str">
        <f>'Công tổng'!T4</f>
        <v>BX-HÀNG LINH TINH</v>
      </c>
      <c r="U4" s="460"/>
      <c r="V4" s="451" t="str">
        <f>'Công tổng'!V4</f>
        <v>SX-bao 3dm3</v>
      </c>
      <c r="W4" s="451" t="str">
        <f>'Công tổng'!W4</f>
        <v>SX-bao 5dm3</v>
      </c>
      <c r="X4" s="451" t="str">
        <f>'Công tổng'!X4</f>
        <v>SX-bao 10dm3</v>
      </c>
      <c r="Y4" s="451" t="str">
        <f>'Công tổng'!Y4</f>
        <v>SX-bao 20dm3</v>
      </c>
      <c r="Z4" s="451" t="str">
        <f>'Công tổng'!Z4</f>
        <v>SX-bao 40dm3</v>
      </c>
      <c r="AA4" s="451" t="str">
        <f>'Công tổng'!AA4</f>
        <v>SX-bao 50dm3</v>
      </c>
      <c r="AB4" s="451" t="str">
        <f>'Công tổng'!AB4</f>
        <v>SX-bao 100dm3</v>
      </c>
      <c r="AC4" s="451" t="str">
        <f>'Công tổng'!AC4</f>
        <v>SX-bao 0,2kg</v>
      </c>
      <c r="AD4" s="451" t="str">
        <f>'Công tổng'!AD4</f>
        <v>SX-bao 0,5 kg</v>
      </c>
      <c r="AE4" s="451" t="str">
        <f>'Công tổng'!AE4</f>
        <v>SX-bao 01kg</v>
      </c>
      <c r="AF4" s="451" t="str">
        <f>'Công tổng'!AF4</f>
        <v>SX-bao 10kg</v>
      </c>
      <c r="AG4" s="451" t="str">
        <f>'Công tổng'!AG4</f>
        <v>SX-bao 25kg</v>
      </c>
      <c r="AH4" s="451" t="str">
        <f>'Công tổng'!AH4</f>
        <v>SX-bao 35kg</v>
      </c>
      <c r="AI4" s="451" t="str">
        <f>'Công tổng'!AI4</f>
        <v>SX-bao 40kg</v>
      </c>
      <c r="AJ4" s="451" t="str">
        <f>'Công tổng'!AJ4</f>
        <v>SX-bao 50kg</v>
      </c>
      <c r="AK4" s="460"/>
      <c r="AL4" s="647" t="str">
        <f>'Công tổng'!AL4</f>
        <v>Bùn Bình Hưng</v>
      </c>
      <c r="AM4" s="461" t="str">
        <f>'Công tổng'!AM4</f>
        <v>Bùn Bình Hưng Hòa</v>
      </c>
      <c r="AN4" s="461" t="str">
        <f>'Công tổng'!AN4</f>
        <v>Xử lý bùn Tân Hóa - Lò gốm</v>
      </c>
      <c r="AO4" s="647" t="str">
        <f>'Công tổng'!AO4</f>
        <v>Xử lý bùn Duy tu</v>
      </c>
      <c r="AP4" s="462"/>
      <c r="AQ4" s="463" t="str">
        <f>'Công tổng'!AQ4</f>
        <v>Lái xe xúc</v>
      </c>
      <c r="AR4" s="463" t="str">
        <f>'Công tổng'!AR4</f>
        <v>Lái xe múc (Xe Kobel)</v>
      </c>
      <c r="AS4" s="463" t="str">
        <f>'Công tổng'!AS4</f>
        <v>Lái xe ủi</v>
      </c>
      <c r="AT4" s="463" t="str">
        <f>'Công tổng'!AT4</f>
        <v>Lái xe Ben</v>
      </c>
      <c r="AU4" s="463" t="str">
        <f>'Công tổng'!AU4</f>
        <v>Lái xe nâng</v>
      </c>
      <c r="AV4" s="463" t="str">
        <f>'Công tổng'!AV4</f>
        <v>Lái xe máy xới</v>
      </c>
      <c r="AW4" s="464" t="str">
        <f>'Công tổng'!AW4</f>
        <v>Lái xe xúc</v>
      </c>
      <c r="AX4" s="464" t="str">
        <f>'Công tổng'!AX4</f>
        <v>Lái xe múc</v>
      </c>
      <c r="AY4" s="464" t="str">
        <f>'Công tổng'!AY4</f>
        <v>Lái xe ủi</v>
      </c>
      <c r="AZ4" s="464" t="str">
        <f>'Công tổng'!AZ4</f>
        <v>Lái xe Ben</v>
      </c>
      <c r="BA4" s="464" t="str">
        <f>'Công tổng'!BA4</f>
        <v>Lái xe nâng</v>
      </c>
      <c r="BB4" s="464" t="str">
        <f>'Công tổng'!BB4</f>
        <v>Lái xe máy xới</v>
      </c>
      <c r="BC4" s="465" t="str">
        <f>'Công tổng'!BC4</f>
        <v>Lái xe múc</v>
      </c>
      <c r="BD4" s="460"/>
      <c r="BE4" s="451" t="str">
        <f>'Công tổng'!BE4</f>
        <v>Đứng máy xay phân bò</v>
      </c>
      <c r="BF4" s="451" t="str">
        <f>'Công tổng'!BF4</f>
        <v>Đứng máy T-O</v>
      </c>
      <c r="BG4" s="451" t="str">
        <f>'Công tổng'!BG4</f>
        <v>Đứng máy xay T-MB</v>
      </c>
      <c r="BH4" s="451">
        <f>'Công tổng'!BH4</f>
        <v>0</v>
      </c>
      <c r="BI4" s="460"/>
      <c r="BJ4" s="451" t="str">
        <f>'Công tổng'!BJ4</f>
        <v>Làm vườn rau</v>
      </c>
      <c r="BK4" s="451" t="str">
        <f>'Công tổng'!BK4</f>
        <v>Việc linh tinh khác</v>
      </c>
      <c r="BL4" s="451" t="str">
        <f>'Công tổng'!BL4</f>
        <v>Lượm rác, đá (xử lý sơ bộ)</v>
      </c>
      <c r="BM4" s="451" t="str">
        <f>'Công tổng'!BM4</f>
        <v>Dọn vệ sinh</v>
      </c>
      <c r="BN4" s="451" t="str">
        <f>'Công tổng'!BN4</f>
        <v>Trồng cây</v>
      </c>
      <c r="BO4" s="451" t="str">
        <f>'Công tổng'!BO4</f>
        <v>Tưới bãi NVL, tưới đường, Tưới cây</v>
      </c>
      <c r="BP4" s="451" t="str">
        <f>'Công tổng'!BP4</f>
        <v>Bơm nước</v>
      </c>
      <c r="BQ4" s="451" t="str">
        <f>'Công tổng'!BQ4</f>
        <v>Xổ tro, phân bò</v>
      </c>
      <c r="BR4" s="451" t="str">
        <f>'Công tổng'!BR4</f>
        <v>kéo mở, đậy bạt</v>
      </c>
      <c r="BS4" s="451" t="str">
        <f>'Công tổng'!BS4</f>
        <v>Đóng date, dán nhãn</v>
      </c>
      <c r="BT4" s="451" t="str">
        <f>'Công tổng'!BT4</f>
        <v>làm kho</v>
      </c>
      <c r="BU4" s="451" t="str">
        <f>'Công tổng'!BU4</f>
        <v>Làm cỏ</v>
      </c>
      <c r="BV4" s="451" t="str">
        <f>'Công tổng'!BV4</f>
        <v>Sửa chữa +phụ sửa xe+ sửa máy khác</v>
      </c>
      <c r="BW4" s="451" t="str">
        <f>'Công tổng'!BW4</f>
        <v>Làm điện</v>
      </c>
      <c r="BX4" s="460"/>
    </row>
    <row r="5" spans="1:76" s="466" customFormat="1" ht="27" customHeight="1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60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60"/>
      <c r="AL5" s="648"/>
      <c r="AM5" s="452"/>
      <c r="AN5" s="467"/>
      <c r="AO5" s="650"/>
      <c r="AP5" s="462"/>
      <c r="AQ5" s="463"/>
      <c r="AR5" s="463"/>
      <c r="AS5" s="463"/>
      <c r="AT5" s="463"/>
      <c r="AU5" s="463"/>
      <c r="AV5" s="463"/>
      <c r="AW5" s="464"/>
      <c r="AX5" s="464"/>
      <c r="AY5" s="464"/>
      <c r="AZ5" s="464"/>
      <c r="BA5" s="464"/>
      <c r="BB5" s="464"/>
      <c r="BC5" s="465"/>
      <c r="BD5" s="460"/>
      <c r="BE5" s="452"/>
      <c r="BF5" s="452"/>
      <c r="BG5" s="452"/>
      <c r="BH5" s="452"/>
      <c r="BI5" s="460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60"/>
    </row>
    <row r="6" spans="1:76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R12" s="334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L17" s="30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customFormat="1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 customFormat="1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 customFormat="1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 customFormat="1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 customFormat="1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 customFormat="1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 customFormat="1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M32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646">
        <f>SUM(AL6:AL49)</f>
        <v>0</v>
      </c>
      <c r="AM50" s="646">
        <f t="shared" ref="AM50:AO50" si="0">SUM(AM6:AM49)</f>
        <v>0</v>
      </c>
      <c r="AN50" s="646">
        <f t="shared" si="0"/>
        <v>0</v>
      </c>
      <c r="AO50" s="646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X50"/>
  <sheetViews>
    <sheetView zoomScale="106" zoomScaleNormal="106" workbookViewId="0">
      <pane xSplit="4" ySplit="5" topLeftCell="BB31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10.5546875" style="30" customWidth="1"/>
    <col min="39" max="39" width="10.44140625" customWidth="1"/>
    <col min="40" max="40" width="6.109375" customWidth="1"/>
    <col min="41" max="41" width="10.332031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76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904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905"/>
      <c r="AL49" s="117"/>
      <c r="AM49" s="117"/>
      <c r="AN49" s="117"/>
      <c r="AO49" s="906"/>
      <c r="AP49" s="905"/>
      <c r="AQ49" s="907"/>
      <c r="AR49" s="907"/>
      <c r="AS49" s="907"/>
      <c r="AT49" s="907"/>
      <c r="AU49" s="907"/>
      <c r="AV49" s="907"/>
      <c r="AW49" s="908"/>
      <c r="AX49" s="908"/>
      <c r="AY49" s="908"/>
      <c r="AZ49" s="908"/>
      <c r="BA49" s="908"/>
      <c r="BB49" s="908"/>
      <c r="BC49" s="909"/>
      <c r="BD49" s="905"/>
      <c r="BE49" s="903"/>
      <c r="BF49" s="903"/>
      <c r="BG49" s="903"/>
      <c r="BH49" s="903"/>
      <c r="BI49" s="905"/>
      <c r="BJ49" s="903"/>
      <c r="BK49" s="903"/>
      <c r="BL49" s="903"/>
      <c r="BM49" s="903"/>
      <c r="BN49" s="903"/>
      <c r="BO49" s="903"/>
      <c r="BP49" s="903"/>
      <c r="BQ49" s="903"/>
      <c r="BR49" s="910"/>
      <c r="BS49" s="903"/>
      <c r="BT49" s="903"/>
      <c r="BU49" s="903"/>
      <c r="BV49" s="903"/>
      <c r="BW49" s="903"/>
      <c r="BX49" s="905"/>
    </row>
    <row r="50" spans="1:76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X50"/>
  <sheetViews>
    <sheetView zoomScale="98" zoomScaleNormal="98" workbookViewId="0">
      <pane xSplit="4" ySplit="5" topLeftCell="AY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8" customWidth="1"/>
    <col min="40" max="40" width="6.109375" customWidth="1"/>
    <col min="41" max="41" width="10.441406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419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X50"/>
  <sheetViews>
    <sheetView zoomScale="106" zoomScaleNormal="106" workbookViewId="0">
      <pane xSplit="4" ySplit="5" topLeftCell="BB37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X48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8.5546875" customWidth="1"/>
    <col min="40" max="40" width="6.109375" customWidth="1"/>
    <col min="41" max="41" width="10.332031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X50"/>
  <sheetViews>
    <sheetView zoomScale="98" zoomScaleNormal="98" workbookViewId="0">
      <pane xSplit="4" ySplit="5" topLeftCell="AY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8.5546875" customWidth="1"/>
    <col min="40" max="40" width="6.109375" customWidth="1"/>
    <col min="41" max="41" width="10.441406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X50"/>
  <sheetViews>
    <sheetView zoomScaleNormal="100" workbookViewId="0">
      <pane xSplit="4" ySplit="5" topLeftCell="AZ29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10.33203125" bestFit="1" customWidth="1"/>
    <col min="39" max="39" width="7.88671875" customWidth="1"/>
    <col min="40" max="40" width="6.109375" customWidth="1"/>
    <col min="41" max="41" width="9.332031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109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70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L17" s="30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723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108">
        <f>SUM(AL6:AL49)</f>
        <v>0</v>
      </c>
      <c r="AM50" s="108">
        <f t="shared" ref="AM50:AO50" si="0">SUM(AM6:AM49)</f>
        <v>0</v>
      </c>
      <c r="AN50" s="108">
        <f t="shared" si="0"/>
        <v>0</v>
      </c>
      <c r="AO50" s="108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BX50"/>
  <sheetViews>
    <sheetView zoomScale="96" zoomScaleNormal="96" workbookViewId="0">
      <pane xSplit="4" ySplit="5" topLeftCell="AX29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7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8.5546875" customWidth="1"/>
    <col min="40" max="40" width="6.88671875" customWidth="1"/>
    <col min="41" max="41" width="10.66406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69" width="6.44140625" customWidth="1"/>
    <col min="70" max="70" width="7.5546875" customWidth="1"/>
    <col min="71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BX50"/>
  <sheetViews>
    <sheetView zoomScale="98" zoomScaleNormal="98" workbookViewId="0">
      <pane xSplit="4" ySplit="5" topLeftCell="AX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9" customWidth="1"/>
    <col min="40" max="40" width="6.88671875" customWidth="1"/>
    <col min="41" max="41" width="9.44140625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388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109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395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723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39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39">
      <c r="AL50" s="30">
        <f>SUM(AL6:AL49)</f>
        <v>0</v>
      </c>
      <c r="AM50" s="30">
        <f t="shared" ref="AM50" si="0">SUM(AM6:AM49)</f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BX50"/>
  <sheetViews>
    <sheetView zoomScaleNormal="100" workbookViewId="0">
      <pane xSplit="4" ySplit="5" topLeftCell="AZ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7.88671875" customWidth="1"/>
    <col min="40" max="40" width="8.33203125" customWidth="1"/>
    <col min="41" max="41" width="10.33203125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388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109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395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899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899"/>
      <c r="AN8" s="421"/>
      <c r="AO8" s="419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899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899"/>
      <c r="AN10" s="421"/>
      <c r="AO10" s="419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899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899"/>
      <c r="AN12" s="421"/>
      <c r="AO12" s="419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899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899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899"/>
      <c r="AN15" s="421"/>
      <c r="AO15" s="419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899"/>
      <c r="AN16" s="421"/>
      <c r="AO16" s="419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899"/>
      <c r="AN32" s="421"/>
      <c r="AO32" s="419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723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" si="0">SUM(AM6:AM49)</f>
        <v>0</v>
      </c>
      <c r="AN50" s="30">
        <f t="shared" ref="AN50" si="1">SUM(AN6:AN49)</f>
        <v>0</v>
      </c>
      <c r="AO50" s="30">
        <f t="shared" ref="AO50" si="2">SUM(AO6:AO49)</f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BX50"/>
  <sheetViews>
    <sheetView zoomScaleNormal="100" workbookViewId="0">
      <pane xSplit="4" ySplit="5" topLeftCell="AZ28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9" bestFit="1" customWidth="1"/>
    <col min="40" max="40" width="7.109375" customWidth="1"/>
    <col min="41" max="41" width="10.66406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723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BX50"/>
  <sheetViews>
    <sheetView zoomScaleNormal="100" workbookViewId="0">
      <pane xSplit="4" ySplit="5" topLeftCell="AY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12" style="578" customWidth="1"/>
    <col min="40" max="40" width="6.109375" customWidth="1"/>
    <col min="41" max="41" width="10.332031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57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58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723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0"/>
    <pageSetUpPr fitToPage="1"/>
  </sheetPr>
  <dimension ref="A1:BX50"/>
  <sheetViews>
    <sheetView zoomScaleNormal="100" workbookViewId="0">
      <pane xSplit="4" ySplit="5" topLeftCell="AZ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X48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29" width="6.109375" customWidth="1"/>
    <col min="30" max="30" width="7.5546875" customWidth="1"/>
    <col min="31" max="36" width="6.109375" customWidth="1"/>
    <col min="37" max="37" width="2.6640625" customWidth="1"/>
    <col min="38" max="38" width="9.109375" style="30" customWidth="1"/>
    <col min="39" max="39" width="8.5546875" customWidth="1"/>
    <col min="40" max="40" width="6.109375" customWidth="1"/>
    <col min="41" max="41" width="10.332031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 ht="15.75" customHeight="1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BX50"/>
  <sheetViews>
    <sheetView zoomScaleNormal="100" workbookViewId="0">
      <pane xSplit="4" ySplit="5" topLeftCell="AZ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8.44140625" customWidth="1"/>
    <col min="40" max="40" width="6.109375" customWidth="1"/>
    <col min="41" max="41" width="9.33203125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388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109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395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BX50"/>
  <sheetViews>
    <sheetView zoomScale="110" zoomScaleNormal="110" workbookViewId="0">
      <pane xSplit="4" ySplit="5" topLeftCell="BC33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7.6640625" bestFit="1" customWidth="1"/>
    <col min="40" max="40" width="6.109375" customWidth="1"/>
    <col min="41" max="41" width="10.332031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911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723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BX50"/>
  <sheetViews>
    <sheetView zoomScaleNormal="100" workbookViewId="0">
      <pane xSplit="4" ySplit="5" topLeftCell="AZ28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9.88671875" customWidth="1"/>
    <col min="40" max="40" width="6.109375" customWidth="1"/>
    <col min="41" max="41" width="10.66406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723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BX50"/>
  <sheetViews>
    <sheetView zoomScaleNormal="100" workbookViewId="0">
      <pane xSplit="4" ySplit="5" topLeftCell="AZ29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X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8.5546875" customWidth="1"/>
    <col min="40" max="40" width="6.109375" customWidth="1"/>
    <col min="41" max="41" width="10.66406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419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419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419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419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419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723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BX50"/>
  <sheetViews>
    <sheetView zoomScale="98" zoomScaleNormal="98" workbookViewId="0">
      <pane xSplit="4" ySplit="5" topLeftCell="AY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8.109375" customWidth="1"/>
    <col min="40" max="40" width="6.109375" customWidth="1"/>
    <col min="41" max="41" width="9.44140625" style="30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2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643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4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419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419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419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419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723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BX50"/>
  <sheetViews>
    <sheetView zoomScaleNormal="100" workbookViewId="0">
      <pane xSplit="4" ySplit="5" topLeftCell="AZ30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8.88671875" customWidth="1"/>
    <col min="40" max="40" width="6.109375" customWidth="1"/>
    <col min="41" max="41" width="10.33203125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388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109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395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BX50"/>
  <sheetViews>
    <sheetView zoomScaleNormal="100" workbookViewId="0">
      <pane xSplit="4" ySplit="5" topLeftCell="AP28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10.33203125" style="30" bestFit="1" customWidth="1"/>
    <col min="39" max="39" width="9.33203125" customWidth="1"/>
    <col min="40" max="40" width="6.109375" customWidth="1"/>
    <col min="41" max="41" width="10.6640625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55" t="s">
        <v>300</v>
      </c>
    </row>
    <row r="2" spans="1:76">
      <c r="C2" s="36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388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109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395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419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BX50"/>
  <sheetViews>
    <sheetView zoomScaleNormal="100" workbookViewId="0">
      <pane xSplit="4" ySplit="5" topLeftCell="AZ28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11.109375" style="30" customWidth="1"/>
    <col min="39" max="39" width="8.44140625" customWidth="1"/>
    <col min="40" max="40" width="6.109375" customWidth="1"/>
    <col min="41" max="41" width="10.33203125" style="74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640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75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641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419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723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723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BX50"/>
  <sheetViews>
    <sheetView zoomScale="106" zoomScaleNormal="106" workbookViewId="0">
      <pane xSplit="4" ySplit="5" topLeftCell="BB29" activePane="bottomRight" state="frozen"/>
      <selection activeCell="R40" sqref="R40"/>
      <selection pane="topRight" activeCell="R40" sqref="R40"/>
      <selection pane="bottomLeft" activeCell="R40" sqref="R40"/>
      <selection pane="bottomRight" activeCell="AL6" sqref="AL6:BW48"/>
    </sheetView>
  </sheetViews>
  <sheetFormatPr defaultRowHeight="14.4"/>
  <cols>
    <col min="1" max="1" width="4.6640625" customWidth="1"/>
    <col min="2" max="2" width="7.88671875" customWidth="1"/>
    <col min="3" max="3" width="18.6640625" style="447" customWidth="1"/>
    <col min="4" max="4" width="11.44140625" bestFit="1" customWidth="1"/>
    <col min="5" max="14" width="6.109375" customWidth="1"/>
    <col min="15" max="15" width="7.33203125" customWidth="1"/>
    <col min="16" max="20" width="6.109375" customWidth="1"/>
    <col min="21" max="21" width="3.44140625" customWidth="1"/>
    <col min="22" max="24" width="6.109375" customWidth="1"/>
    <col min="25" max="25" width="7" bestFit="1" customWidth="1"/>
    <col min="26" max="26" width="5.109375" bestFit="1" customWidth="1"/>
    <col min="27" max="27" width="7" bestFit="1" customWidth="1"/>
    <col min="28" max="36" width="6.109375" customWidth="1"/>
    <col min="37" max="37" width="2.6640625" customWidth="1"/>
    <col min="38" max="38" width="9.109375" style="30" customWidth="1"/>
    <col min="39" max="39" width="11.6640625" customWidth="1"/>
    <col min="40" max="40" width="6.109375" customWidth="1"/>
    <col min="41" max="41" width="10.33203125" bestFit="1" customWidth="1"/>
    <col min="42" max="42" width="2.6640625" customWidth="1"/>
    <col min="43" max="48" width="6.44140625" style="334" customWidth="1"/>
    <col min="49" max="54" width="6.44140625" style="322" customWidth="1"/>
    <col min="55" max="55" width="6.44140625" style="328" customWidth="1"/>
    <col min="56" max="56" width="4.33203125" customWidth="1"/>
    <col min="57" max="60" width="6.44140625" customWidth="1"/>
    <col min="61" max="61" width="4" customWidth="1"/>
    <col min="62" max="71" width="6.44140625" customWidth="1"/>
    <col min="72" max="72" width="5" customWidth="1"/>
    <col min="73" max="75" width="6.44140625" customWidth="1"/>
    <col min="76" max="76" width="3.6640625" customWidth="1"/>
  </cols>
  <sheetData>
    <row r="1" spans="1:76" ht="15.6">
      <c r="C1" s="448" t="s">
        <v>300</v>
      </c>
    </row>
    <row r="2" spans="1:76">
      <c r="C2" s="449" t="s">
        <v>561</v>
      </c>
    </row>
    <row r="3" spans="1:76">
      <c r="A3" s="4" t="s">
        <v>0</v>
      </c>
      <c r="B3" s="4" t="s">
        <v>284</v>
      </c>
      <c r="C3" s="4" t="s">
        <v>2</v>
      </c>
      <c r="D3" s="4" t="s">
        <v>3</v>
      </c>
      <c r="E3" s="1056" t="s">
        <v>285</v>
      </c>
      <c r="F3" s="1056"/>
      <c r="G3" s="1056"/>
      <c r="H3" s="1056"/>
      <c r="I3" s="1056"/>
      <c r="J3" s="1056"/>
      <c r="K3" s="1056"/>
      <c r="L3" s="1056"/>
      <c r="M3" s="1056"/>
      <c r="N3" s="1056"/>
      <c r="O3" s="1056"/>
      <c r="P3" s="1056"/>
      <c r="Q3" s="1056"/>
      <c r="R3" s="1056"/>
      <c r="S3" s="1056"/>
      <c r="T3" s="390"/>
      <c r="U3" s="48"/>
      <c r="V3" s="1056" t="s">
        <v>283</v>
      </c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48"/>
      <c r="AL3" s="1038" t="s">
        <v>295</v>
      </c>
      <c r="AM3" s="1040"/>
      <c r="AN3" s="388"/>
      <c r="AO3" s="388"/>
      <c r="AP3" s="72"/>
      <c r="AQ3" s="1053" t="s">
        <v>286</v>
      </c>
      <c r="AR3" s="1054"/>
      <c r="AS3" s="1054"/>
      <c r="AT3" s="1054"/>
      <c r="AU3" s="1054"/>
      <c r="AV3" s="1054"/>
      <c r="AW3" s="1054"/>
      <c r="AX3" s="1054"/>
      <c r="AY3" s="1054"/>
      <c r="AZ3" s="1054"/>
      <c r="BA3" s="1054"/>
      <c r="BB3" s="1054"/>
      <c r="BC3" s="1055"/>
      <c r="BD3" s="48"/>
      <c r="BE3" s="1038" t="s">
        <v>682</v>
      </c>
      <c r="BF3" s="1039"/>
      <c r="BG3" s="1039"/>
      <c r="BH3" s="1039"/>
      <c r="BI3" s="48"/>
      <c r="BJ3" s="1038" t="s">
        <v>287</v>
      </c>
      <c r="BK3" s="1039"/>
      <c r="BL3" s="1039"/>
      <c r="BM3" s="1039"/>
      <c r="BN3" s="1039"/>
      <c r="BO3" s="1039"/>
      <c r="BP3" s="1039"/>
      <c r="BQ3" s="1039"/>
      <c r="BR3" s="1039"/>
      <c r="BS3" s="1039"/>
      <c r="BT3" s="1039"/>
      <c r="BU3" s="1039"/>
      <c r="BV3" s="1040"/>
      <c r="BW3" s="389"/>
      <c r="BX3" s="48"/>
    </row>
    <row r="4" spans="1:76" s="46" customFormat="1" ht="78.599999999999994">
      <c r="A4" s="49"/>
      <c r="B4" s="49"/>
      <c r="C4" s="49"/>
      <c r="D4" s="50"/>
      <c r="E4" s="51" t="str">
        <f>'Công tổng'!E4</f>
        <v>BX-bao 3dm3</v>
      </c>
      <c r="F4" s="51" t="str">
        <f>'Công tổng'!F4</f>
        <v>BX-bao 5dm3</v>
      </c>
      <c r="G4" s="51" t="str">
        <f>'Công tổng'!G4</f>
        <v>BX-bao 10dm3</v>
      </c>
      <c r="H4" s="51" t="str">
        <f>'Công tổng'!H4</f>
        <v>BX-bao 20dm3</v>
      </c>
      <c r="I4" s="51" t="str">
        <f>'Công tổng'!I4</f>
        <v>BX-bao 40dm3</v>
      </c>
      <c r="J4" s="51" t="str">
        <f>'Công tổng'!J4</f>
        <v>BX-bao 50dm3</v>
      </c>
      <c r="K4" s="51" t="str">
        <f>'Công tổng'!K4</f>
        <v>BX-bao 100dm3</v>
      </c>
      <c r="L4" s="51" t="str">
        <f>'Công tổng'!L4</f>
        <v>BX-bao 0,2kg</v>
      </c>
      <c r="M4" s="51" t="str">
        <f>'Công tổng'!M4</f>
        <v>BX-bao 0,5 kg</v>
      </c>
      <c r="N4" s="51" t="str">
        <f>'Công tổng'!N4</f>
        <v>BX-bao 01kg</v>
      </c>
      <c r="O4" s="51" t="str">
        <f>'Công tổng'!O4</f>
        <v>BX-bao 10kg</v>
      </c>
      <c r="P4" s="51" t="str">
        <f>'Công tổng'!P4</f>
        <v>BX-bao 25kg</v>
      </c>
      <c r="Q4" s="51" t="str">
        <f>'Công tổng'!Q4</f>
        <v>BX-bao 35kg</v>
      </c>
      <c r="R4" s="51" t="str">
        <f>'Công tổng'!R4</f>
        <v>BX-bao 40kg</v>
      </c>
      <c r="S4" s="51" t="str">
        <f>'Công tổng'!S4</f>
        <v>BX-bao 50kg</v>
      </c>
      <c r="T4" s="51" t="str">
        <f>'Công tổng'!T4</f>
        <v>BX-HÀNG LINH TINH</v>
      </c>
      <c r="U4" s="47"/>
      <c r="V4" s="51" t="str">
        <f>'Công tổng'!V4</f>
        <v>SX-bao 3dm3</v>
      </c>
      <c r="W4" s="51" t="str">
        <f>'Công tổng'!W4</f>
        <v>SX-bao 5dm3</v>
      </c>
      <c r="X4" s="51" t="str">
        <f>'Công tổng'!X4</f>
        <v>SX-bao 10dm3</v>
      </c>
      <c r="Y4" s="51" t="str">
        <f>'Công tổng'!Y4</f>
        <v>SX-bao 20dm3</v>
      </c>
      <c r="Z4" s="51" t="str">
        <f>'Công tổng'!Z4</f>
        <v>SX-bao 40dm3</v>
      </c>
      <c r="AA4" s="51" t="str">
        <f>'Công tổng'!AA4</f>
        <v>SX-bao 50dm3</v>
      </c>
      <c r="AB4" s="51" t="str">
        <f>'Công tổng'!AB4</f>
        <v>SX-bao 100dm3</v>
      </c>
      <c r="AC4" s="51" t="str">
        <f>'Công tổng'!AC4</f>
        <v>SX-bao 0,2kg</v>
      </c>
      <c r="AD4" s="51" t="str">
        <f>'Công tổng'!AD4</f>
        <v>SX-bao 0,5 kg</v>
      </c>
      <c r="AE4" s="51" t="str">
        <f>'Công tổng'!AE4</f>
        <v>SX-bao 01kg</v>
      </c>
      <c r="AF4" s="51" t="str">
        <f>'Công tổng'!AF4</f>
        <v>SX-bao 10kg</v>
      </c>
      <c r="AG4" s="51" t="str">
        <f>'Công tổng'!AG4</f>
        <v>SX-bao 25kg</v>
      </c>
      <c r="AH4" s="51" t="str">
        <f>'Công tổng'!AH4</f>
        <v>SX-bao 35kg</v>
      </c>
      <c r="AI4" s="51" t="str">
        <f>'Công tổng'!AI4</f>
        <v>SX-bao 40kg</v>
      </c>
      <c r="AJ4" s="51" t="str">
        <f>'Công tổng'!AJ4</f>
        <v>SX-bao 50kg</v>
      </c>
      <c r="AK4" s="47"/>
      <c r="AL4" s="643" t="str">
        <f>'Công tổng'!AL4</f>
        <v>Bùn Bình Hưng</v>
      </c>
      <c r="AM4" s="109" t="str">
        <f>'Công tổng'!AM4</f>
        <v>Bùn Bình Hưng Hòa</v>
      </c>
      <c r="AN4" s="109" t="str">
        <f>'Công tổng'!AN4</f>
        <v>Xử lý bùn Tân Hóa - Lò gốm</v>
      </c>
      <c r="AO4" s="109" t="str">
        <f>'Công tổng'!AO4</f>
        <v>Xử lý bùn Duy tu</v>
      </c>
      <c r="AP4" s="52"/>
      <c r="AQ4" s="391" t="str">
        <f>'Công tổng'!AQ4</f>
        <v>Lái xe xúc</v>
      </c>
      <c r="AR4" s="391" t="str">
        <f>'Công tổng'!AR4</f>
        <v>Lái xe múc (Xe Kobel)</v>
      </c>
      <c r="AS4" s="391" t="str">
        <f>'Công tổng'!AS4</f>
        <v>Lái xe ủi</v>
      </c>
      <c r="AT4" s="391" t="str">
        <f>'Công tổng'!AT4</f>
        <v>Lái xe Ben</v>
      </c>
      <c r="AU4" s="391" t="str">
        <f>'Công tổng'!AU4</f>
        <v>Lái xe nâng</v>
      </c>
      <c r="AV4" s="391" t="str">
        <f>'Công tổng'!AV4</f>
        <v>Lái xe máy xới</v>
      </c>
      <c r="AW4" s="392" t="str">
        <f>'Công tổng'!AW4</f>
        <v>Lái xe xúc</v>
      </c>
      <c r="AX4" s="392" t="str">
        <f>'Công tổng'!AX4</f>
        <v>Lái xe múc</v>
      </c>
      <c r="AY4" s="392" t="str">
        <f>'Công tổng'!AY4</f>
        <v>Lái xe ủi</v>
      </c>
      <c r="AZ4" s="392" t="str">
        <f>'Công tổng'!AZ4</f>
        <v>Lái xe Ben</v>
      </c>
      <c r="BA4" s="392" t="str">
        <f>'Công tổng'!BA4</f>
        <v>Lái xe nâng</v>
      </c>
      <c r="BB4" s="392" t="str">
        <f>'Công tổng'!BB4</f>
        <v>Lái xe máy xới</v>
      </c>
      <c r="BC4" s="393" t="str">
        <f>'Công tổng'!BC4</f>
        <v>Lái xe múc</v>
      </c>
      <c r="BD4" s="47"/>
      <c r="BE4" s="51" t="str">
        <f>'Công tổng'!BE4</f>
        <v>Đứng máy xay phân bò</v>
      </c>
      <c r="BF4" s="51" t="str">
        <f>'Công tổng'!BF4</f>
        <v>Đứng máy T-O</v>
      </c>
      <c r="BG4" s="51" t="str">
        <f>'Công tổng'!BG4</f>
        <v>Đứng máy xay T-MB</v>
      </c>
      <c r="BH4" s="51">
        <f>'Công tổng'!BH4</f>
        <v>0</v>
      </c>
      <c r="BI4" s="47"/>
      <c r="BJ4" s="51" t="str">
        <f>'Công tổng'!BJ4</f>
        <v>Làm vườn rau</v>
      </c>
      <c r="BK4" s="51" t="str">
        <f>'Công tổng'!BK4</f>
        <v>Việc linh tinh khác</v>
      </c>
      <c r="BL4" s="51" t="str">
        <f>'Công tổng'!BL4</f>
        <v>Lượm rác, đá (xử lý sơ bộ)</v>
      </c>
      <c r="BM4" s="51" t="str">
        <f>'Công tổng'!BM4</f>
        <v>Dọn vệ sinh</v>
      </c>
      <c r="BN4" s="51" t="str">
        <f>'Công tổng'!BN4</f>
        <v>Trồng cây</v>
      </c>
      <c r="BO4" s="51" t="str">
        <f>'Công tổng'!BO4</f>
        <v>Tưới bãi NVL, tưới đường, Tưới cây</v>
      </c>
      <c r="BP4" s="51" t="str">
        <f>'Công tổng'!BP4</f>
        <v>Bơm nước</v>
      </c>
      <c r="BQ4" s="51" t="str">
        <f>'Công tổng'!BQ4</f>
        <v>Xổ tro, phân bò</v>
      </c>
      <c r="BR4" s="51" t="str">
        <f>'Công tổng'!BR4</f>
        <v>kéo mở, đậy bạt</v>
      </c>
      <c r="BS4" s="51" t="str">
        <f>'Công tổng'!BS4</f>
        <v>Đóng date, dán nhãn</v>
      </c>
      <c r="BT4" s="51" t="str">
        <f>'Công tổng'!BT4</f>
        <v>làm kho</v>
      </c>
      <c r="BU4" s="51" t="str">
        <f>'Công tổng'!BU4</f>
        <v>Làm cỏ</v>
      </c>
      <c r="BV4" s="51" t="str">
        <f>'Công tổng'!BV4</f>
        <v>Sửa chữa +phụ sửa xe+ sửa máy khác</v>
      </c>
      <c r="BW4" s="51" t="str">
        <f>'Công tổng'!BW4</f>
        <v>Làm điện</v>
      </c>
      <c r="BX4" s="47"/>
    </row>
    <row r="5" spans="1:76" s="46" customFormat="1" ht="11.4">
      <c r="A5" s="49"/>
      <c r="B5" s="49"/>
      <c r="C5" s="65"/>
      <c r="D5" s="66"/>
      <c r="E5" s="1044" t="s">
        <v>302</v>
      </c>
      <c r="F5" s="1045"/>
      <c r="G5" s="1045"/>
      <c r="H5" s="1045"/>
      <c r="I5" s="1045"/>
      <c r="J5" s="1045"/>
      <c r="K5" s="1045"/>
      <c r="L5" s="1045"/>
      <c r="M5" s="1045"/>
      <c r="N5" s="1045"/>
      <c r="O5" s="1045"/>
      <c r="P5" s="1045"/>
      <c r="Q5" s="1045"/>
      <c r="R5" s="1045"/>
      <c r="S5" s="1046"/>
      <c r="T5" s="82"/>
      <c r="U5" s="47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7"/>
      <c r="AL5" s="645"/>
      <c r="AM5" s="70"/>
      <c r="AN5" s="395"/>
      <c r="AO5" s="395"/>
      <c r="AP5" s="52"/>
      <c r="AQ5" s="391"/>
      <c r="AR5" s="391"/>
      <c r="AS5" s="391"/>
      <c r="AT5" s="391"/>
      <c r="AU5" s="391"/>
      <c r="AV5" s="391"/>
      <c r="AW5" s="392"/>
      <c r="AX5" s="392"/>
      <c r="AY5" s="392"/>
      <c r="AZ5" s="392"/>
      <c r="BA5" s="392"/>
      <c r="BB5" s="392"/>
      <c r="BC5" s="393"/>
      <c r="BD5" s="47"/>
      <c r="BE5" s="70"/>
      <c r="BF5" s="70"/>
      <c r="BG5" s="70"/>
      <c r="BH5" s="70"/>
      <c r="BI5" s="47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47"/>
    </row>
    <row r="6" spans="1:76" ht="22.8">
      <c r="A6" s="418">
        <f>'BANG LUONG 1'!A6</f>
        <v>1</v>
      </c>
      <c r="B6" s="418" t="str">
        <f>'BANG LUONG 1'!B6</f>
        <v>NV01</v>
      </c>
      <c r="C6" s="418" t="str">
        <f>'BANG LUONG 1'!C6</f>
        <v>Nguyễn Trọng Minh</v>
      </c>
      <c r="D6" s="418" t="str">
        <f>'BANG LUONG 1'!D6</f>
        <v>Đội trưởng XLB</v>
      </c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7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5"/>
      <c r="AL6" s="419"/>
      <c r="AM6" s="419"/>
      <c r="AN6" s="419"/>
      <c r="AO6" s="76"/>
      <c r="AP6" s="53"/>
      <c r="AQ6" s="416"/>
      <c r="AR6" s="416"/>
      <c r="AS6" s="417"/>
      <c r="AT6" s="416"/>
      <c r="AU6" s="417"/>
      <c r="AV6" s="417"/>
      <c r="AW6" s="319"/>
      <c r="AX6" s="319"/>
      <c r="AY6" s="319"/>
      <c r="AZ6" s="319"/>
      <c r="BA6" s="319"/>
      <c r="BB6" s="319"/>
      <c r="BC6" s="324"/>
      <c r="BD6" s="45"/>
      <c r="BE6" s="418"/>
      <c r="BF6" s="418"/>
      <c r="BG6" s="418"/>
      <c r="BH6" s="418"/>
      <c r="BI6" s="45"/>
      <c r="BJ6" s="418"/>
      <c r="BK6" s="418"/>
      <c r="BL6" s="418"/>
      <c r="BM6" s="418"/>
      <c r="BN6" s="418"/>
      <c r="BO6" s="418"/>
      <c r="BP6" s="418"/>
      <c r="BQ6" s="418"/>
      <c r="BR6" s="414"/>
      <c r="BS6" s="418"/>
      <c r="BT6" s="418"/>
      <c r="BU6" s="418"/>
      <c r="BV6" s="418"/>
      <c r="BW6" s="418"/>
      <c r="BX6" s="45"/>
    </row>
    <row r="7" spans="1:76">
      <c r="A7" s="418">
        <f>'BANG LUONG 1'!A7</f>
        <v>2</v>
      </c>
      <c r="B7" s="418" t="str">
        <f>'BANG LUONG 1'!B7</f>
        <v>NV02</v>
      </c>
      <c r="C7" s="418" t="str">
        <f>'BANG LUONG 1'!C7</f>
        <v xml:space="preserve">Nguyễn Minh Tuấn </v>
      </c>
      <c r="D7" s="418" t="str">
        <f>'BANG LUONG 1'!D7</f>
        <v xml:space="preserve">Công nhân </v>
      </c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7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5"/>
      <c r="AL7" s="419"/>
      <c r="AM7" s="723"/>
      <c r="AN7" s="419"/>
      <c r="AO7" s="76"/>
      <c r="AP7" s="53"/>
      <c r="AQ7" s="416"/>
      <c r="AR7" s="416"/>
      <c r="AS7" s="417"/>
      <c r="AT7" s="416"/>
      <c r="AU7" s="417"/>
      <c r="AV7" s="417"/>
      <c r="AW7" s="319"/>
      <c r="AX7" s="319"/>
      <c r="AY7" s="319"/>
      <c r="AZ7" s="319"/>
      <c r="BA7" s="319"/>
      <c r="BB7" s="319"/>
      <c r="BC7" s="324"/>
      <c r="BD7" s="45"/>
      <c r="BE7" s="418"/>
      <c r="BF7" s="418"/>
      <c r="BG7" s="418"/>
      <c r="BH7" s="418"/>
      <c r="BI7" s="45"/>
      <c r="BJ7" s="418"/>
      <c r="BK7" s="418"/>
      <c r="BL7" s="418"/>
      <c r="BM7" s="418"/>
      <c r="BN7" s="418"/>
      <c r="BO7" s="418"/>
      <c r="BP7" s="418"/>
      <c r="BQ7" s="418"/>
      <c r="BR7" s="414"/>
      <c r="BS7" s="418"/>
      <c r="BT7" s="418"/>
      <c r="BU7" s="418"/>
      <c r="BV7" s="418"/>
      <c r="BW7" s="418"/>
      <c r="BX7" s="45"/>
    </row>
    <row r="8" spans="1:76">
      <c r="A8" s="418">
        <f>'BANG LUONG 1'!A8</f>
        <v>5</v>
      </c>
      <c r="B8" s="418" t="str">
        <f>'BANG LUONG 1'!B8</f>
        <v>NV05</v>
      </c>
      <c r="C8" s="418" t="str">
        <f>'BANG LUONG 1'!C8</f>
        <v>Nguyễn Thanh Vạn</v>
      </c>
      <c r="D8" s="418" t="str">
        <f>'BANG LUONG 1'!D8</f>
        <v xml:space="preserve">Công nhân </v>
      </c>
      <c r="E8" s="419"/>
      <c r="F8" s="419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  <c r="U8" s="47"/>
      <c r="V8" s="419"/>
      <c r="W8" s="419"/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5"/>
      <c r="AL8" s="419"/>
      <c r="AM8" s="723"/>
      <c r="AN8" s="419"/>
      <c r="AO8" s="76"/>
      <c r="AP8" s="53"/>
      <c r="AQ8" s="330"/>
      <c r="AR8" s="330"/>
      <c r="AS8" s="330"/>
      <c r="AT8" s="330"/>
      <c r="AU8" s="330"/>
      <c r="AV8" s="330"/>
      <c r="AW8" s="319"/>
      <c r="AX8" s="319"/>
      <c r="AY8" s="319"/>
      <c r="AZ8" s="319"/>
      <c r="BA8" s="319"/>
      <c r="BB8" s="319"/>
      <c r="BC8" s="324"/>
      <c r="BD8" s="45"/>
      <c r="BE8" s="418"/>
      <c r="BF8" s="418"/>
      <c r="BG8" s="418"/>
      <c r="BH8" s="418"/>
      <c r="BI8" s="45"/>
      <c r="BJ8" s="418"/>
      <c r="BK8" s="418"/>
      <c r="BL8" s="418"/>
      <c r="BM8" s="418"/>
      <c r="BN8" s="418"/>
      <c r="BO8" s="418"/>
      <c r="BP8" s="418"/>
      <c r="BQ8" s="418"/>
      <c r="BR8" s="414"/>
      <c r="BS8" s="418"/>
      <c r="BT8" s="418"/>
      <c r="BU8" s="418"/>
      <c r="BV8" s="418"/>
      <c r="BW8" s="418"/>
      <c r="BX8" s="45"/>
    </row>
    <row r="9" spans="1:76">
      <c r="A9" s="418">
        <f>'BANG LUONG 1'!A8</f>
        <v>5</v>
      </c>
      <c r="B9" s="418" t="str">
        <f>'BANG LUONG 1'!B9</f>
        <v>NV07</v>
      </c>
      <c r="C9" s="418" t="str">
        <f>'BANG LUONG 1'!C9</f>
        <v xml:space="preserve">Triệu Bô Na </v>
      </c>
      <c r="D9" s="418" t="str">
        <f>'BANG LUONG 1'!D9</f>
        <v xml:space="preserve">Công nhân </v>
      </c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  <c r="U9" s="47"/>
      <c r="V9" s="419"/>
      <c r="W9" s="419"/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5"/>
      <c r="AL9" s="419"/>
      <c r="AM9" s="723"/>
      <c r="AN9" s="419"/>
      <c r="AO9" s="76"/>
      <c r="AP9" s="53"/>
      <c r="AQ9" s="330"/>
      <c r="AR9" s="330"/>
      <c r="AS9" s="330"/>
      <c r="AT9" s="330"/>
      <c r="AU9" s="330"/>
      <c r="AV9" s="330"/>
      <c r="AW9" s="319"/>
      <c r="AX9" s="319"/>
      <c r="AY9" s="319"/>
      <c r="AZ9" s="319"/>
      <c r="BA9" s="319"/>
      <c r="BB9" s="319"/>
      <c r="BC9" s="324"/>
      <c r="BD9" s="45"/>
      <c r="BE9" s="418"/>
      <c r="BF9" s="418"/>
      <c r="BG9" s="418"/>
      <c r="BH9" s="418"/>
      <c r="BI9" s="45"/>
      <c r="BJ9" s="418"/>
      <c r="BK9" s="418"/>
      <c r="BL9" s="418"/>
      <c r="BM9" s="418"/>
      <c r="BN9" s="418"/>
      <c r="BO9" s="639"/>
      <c r="BP9" s="418"/>
      <c r="BQ9" s="418"/>
      <c r="BR9" s="414"/>
      <c r="BS9" s="418"/>
      <c r="BT9" s="418"/>
      <c r="BU9" s="418"/>
      <c r="BV9" s="418"/>
      <c r="BW9" s="418"/>
      <c r="BX9" s="45"/>
    </row>
    <row r="10" spans="1:76">
      <c r="A10" s="418">
        <f>'BANG LUONG 1'!A9</f>
        <v>7</v>
      </c>
      <c r="B10" s="418" t="str">
        <f>'BANG LUONG 1'!B10</f>
        <v>NV09</v>
      </c>
      <c r="C10" s="418" t="str">
        <f>'BANG LUONG 1'!C10</f>
        <v>Phan Lâm Thương</v>
      </c>
      <c r="D10" s="418" t="str">
        <f>'BANG LUONG 1'!D10</f>
        <v xml:space="preserve">Công nhân 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7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19"/>
      <c r="AJ10" s="419"/>
      <c r="AK10" s="45"/>
      <c r="AL10" s="419"/>
      <c r="AM10" s="723"/>
      <c r="AN10" s="419"/>
      <c r="AO10" s="76"/>
      <c r="AP10" s="53"/>
      <c r="AQ10" s="330"/>
      <c r="AR10" s="330"/>
      <c r="AS10" s="330"/>
      <c r="AT10" s="330"/>
      <c r="AU10" s="330"/>
      <c r="AV10" s="330"/>
      <c r="AW10" s="319"/>
      <c r="AX10" s="319"/>
      <c r="AY10" s="319"/>
      <c r="AZ10" s="319"/>
      <c r="BA10" s="319"/>
      <c r="BB10" s="319"/>
      <c r="BC10" s="324"/>
      <c r="BD10" s="45"/>
      <c r="BE10" s="418"/>
      <c r="BF10" s="418"/>
      <c r="BG10" s="418"/>
      <c r="BH10" s="418"/>
      <c r="BI10" s="45"/>
      <c r="BJ10" s="418"/>
      <c r="BK10" s="418"/>
      <c r="BL10" s="418"/>
      <c r="BM10" s="418"/>
      <c r="BN10" s="418"/>
      <c r="BO10" s="418"/>
      <c r="BP10" s="418"/>
      <c r="BQ10" s="418"/>
      <c r="BR10" s="414"/>
      <c r="BS10" s="418"/>
      <c r="BT10" s="418"/>
      <c r="BU10" s="418"/>
      <c r="BV10" s="418"/>
      <c r="BW10" s="418"/>
      <c r="BX10" s="45"/>
    </row>
    <row r="11" spans="1:76">
      <c r="A11" s="418">
        <f>'BANG LUONG 1'!A10</f>
        <v>9</v>
      </c>
      <c r="B11" s="418" t="str">
        <f>'BANG LUONG 1'!B11</f>
        <v>NV10</v>
      </c>
      <c r="C11" s="418" t="str">
        <f>'BANG LUONG 1'!C11</f>
        <v>Nguyễn Bình Luận</v>
      </c>
      <c r="D11" s="418" t="str">
        <f>'BANG LUONG 1'!D11</f>
        <v xml:space="preserve">Công nhân </v>
      </c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7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5"/>
      <c r="AL11" s="419"/>
      <c r="AM11" s="723"/>
      <c r="AN11" s="419"/>
      <c r="AO11" s="76"/>
      <c r="AP11" s="53"/>
      <c r="AQ11" s="330"/>
      <c r="AR11" s="330"/>
      <c r="AS11" s="330"/>
      <c r="AT11" s="330"/>
      <c r="AU11" s="330"/>
      <c r="AV11" s="330"/>
      <c r="AW11" s="319"/>
      <c r="AX11" s="319"/>
      <c r="AY11" s="319"/>
      <c r="AZ11" s="319"/>
      <c r="BA11" s="319"/>
      <c r="BB11" s="319"/>
      <c r="BC11" s="324"/>
      <c r="BD11" s="45"/>
      <c r="BE11" s="418"/>
      <c r="BF11" s="418"/>
      <c r="BG11" s="418"/>
      <c r="BH11" s="418"/>
      <c r="BI11" s="45"/>
      <c r="BJ11" s="418"/>
      <c r="BK11" s="413"/>
      <c r="BL11" s="418"/>
      <c r="BM11" s="418"/>
      <c r="BN11" s="418"/>
      <c r="BO11" s="418"/>
      <c r="BP11" s="418"/>
      <c r="BQ11" s="418"/>
      <c r="BR11" s="414"/>
      <c r="BS11" s="418"/>
      <c r="BT11" s="418"/>
      <c r="BU11" s="418"/>
      <c r="BV11" s="418"/>
      <c r="BW11" s="418"/>
      <c r="BX11" s="45"/>
    </row>
    <row r="12" spans="1:76">
      <c r="A12" s="418">
        <f>'BANG LUONG 1'!A11</f>
        <v>10</v>
      </c>
      <c r="B12" s="418" t="str">
        <f>'BANG LUONG 1'!B12</f>
        <v>NV11</v>
      </c>
      <c r="C12" s="418" t="str">
        <f>'BANG LUONG 1'!C12</f>
        <v>Nguyễn Thế Lực</v>
      </c>
      <c r="D12" s="418" t="str">
        <f>'BANG LUONG 1'!D12</f>
        <v xml:space="preserve">Công nhân 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7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19"/>
      <c r="AJ12" s="419"/>
      <c r="AK12" s="45"/>
      <c r="AL12" s="419"/>
      <c r="AM12" s="723"/>
      <c r="AN12" s="419"/>
      <c r="AO12" s="76"/>
      <c r="AP12" s="53"/>
      <c r="AQ12" s="330"/>
      <c r="AS12" s="330"/>
      <c r="AT12" s="330"/>
      <c r="AU12" s="330"/>
      <c r="AV12" s="330"/>
      <c r="AW12" s="319"/>
      <c r="AX12" s="319"/>
      <c r="AY12" s="319"/>
      <c r="AZ12" s="319"/>
      <c r="BA12" s="319"/>
      <c r="BB12" s="319"/>
      <c r="BC12" s="324"/>
      <c r="BD12" s="45"/>
      <c r="BE12" s="418"/>
      <c r="BF12" s="418"/>
      <c r="BG12" s="418"/>
      <c r="BH12" s="418"/>
      <c r="BI12" s="45"/>
      <c r="BJ12" s="418"/>
      <c r="BK12" s="418"/>
      <c r="BL12" s="418"/>
      <c r="BM12" s="418"/>
      <c r="BN12" s="418"/>
      <c r="BO12" s="418"/>
      <c r="BP12" s="418"/>
      <c r="BQ12" s="418"/>
      <c r="BR12" s="414"/>
      <c r="BS12" s="418"/>
      <c r="BT12" s="418"/>
      <c r="BU12" s="414"/>
      <c r="BV12" s="418"/>
      <c r="BW12" s="418"/>
      <c r="BX12" s="45"/>
    </row>
    <row r="13" spans="1:76">
      <c r="A13" s="418">
        <f>'BANG LUONG 1'!A12</f>
        <v>11</v>
      </c>
      <c r="B13" s="418" t="str">
        <f>'BANG LUONG 1'!B13</f>
        <v>NV12</v>
      </c>
      <c r="C13" s="418" t="str">
        <f>'BANG LUONG 1'!C13</f>
        <v>Nguyễn Thành Vân</v>
      </c>
      <c r="D13" s="418" t="str">
        <f>'BANG LUONG 1'!D13</f>
        <v xml:space="preserve">Công nhân </v>
      </c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7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19"/>
      <c r="AJ13" s="419"/>
      <c r="AK13" s="45"/>
      <c r="AL13" s="419"/>
      <c r="AM13" s="723"/>
      <c r="AN13" s="419"/>
      <c r="AO13" s="76"/>
      <c r="AP13" s="53"/>
      <c r="AQ13" s="330"/>
      <c r="AR13" s="330"/>
      <c r="AS13" s="330"/>
      <c r="AT13" s="330"/>
      <c r="AU13" s="330"/>
      <c r="AV13" s="330"/>
      <c r="AW13" s="319"/>
      <c r="AX13" s="319"/>
      <c r="AY13" s="319"/>
      <c r="AZ13" s="319"/>
      <c r="BA13" s="319"/>
      <c r="BB13" s="319"/>
      <c r="BC13" s="324"/>
      <c r="BD13" s="45"/>
      <c r="BE13" s="418"/>
      <c r="BF13" s="418"/>
      <c r="BG13" s="418"/>
      <c r="BH13" s="418"/>
      <c r="BI13" s="45"/>
      <c r="BJ13" s="418"/>
      <c r="BK13" s="413"/>
      <c r="BL13" s="418"/>
      <c r="BM13" s="418"/>
      <c r="BN13" s="418"/>
      <c r="BO13" s="418"/>
      <c r="BP13" s="418"/>
      <c r="BQ13" s="418"/>
      <c r="BR13" s="414"/>
      <c r="BS13" s="418"/>
      <c r="BT13" s="418"/>
      <c r="BU13" s="418"/>
      <c r="BV13" s="418"/>
      <c r="BW13" s="418"/>
      <c r="BX13" s="45"/>
    </row>
    <row r="14" spans="1:76">
      <c r="A14" s="418">
        <f>'BANG LUONG 1'!A13</f>
        <v>12</v>
      </c>
      <c r="B14" s="418" t="str">
        <f>'BANG LUONG 1'!B14</f>
        <v>NV46</v>
      </c>
      <c r="C14" s="418" t="str">
        <f>'BANG LUONG 1'!C14</f>
        <v>Lương Trường Giang</v>
      </c>
      <c r="D14" s="418" t="str">
        <f>'BANG LUONG 1'!D14</f>
        <v xml:space="preserve">Công nhân </v>
      </c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7"/>
      <c r="V14" s="419"/>
      <c r="W14" s="419"/>
      <c r="X14" s="419"/>
      <c r="Y14" s="419"/>
      <c r="Z14" s="419"/>
      <c r="AA14" s="419"/>
      <c r="AB14" s="419"/>
      <c r="AC14" s="419"/>
      <c r="AD14" s="419"/>
      <c r="AE14" s="419"/>
      <c r="AF14" s="419"/>
      <c r="AG14" s="419"/>
      <c r="AH14" s="419"/>
      <c r="AI14" s="419"/>
      <c r="AJ14" s="419"/>
      <c r="AK14" s="45"/>
      <c r="AL14" s="419"/>
      <c r="AM14" s="723"/>
      <c r="AN14" s="419"/>
      <c r="AO14" s="76"/>
      <c r="AP14" s="53"/>
      <c r="AQ14" s="330"/>
      <c r="AR14" s="330"/>
      <c r="AS14" s="330"/>
      <c r="AT14" s="330"/>
      <c r="AU14" s="330"/>
      <c r="AV14" s="330"/>
      <c r="AW14" s="319"/>
      <c r="AX14" s="319"/>
      <c r="AY14" s="319"/>
      <c r="AZ14" s="319"/>
      <c r="BA14" s="319"/>
      <c r="BB14" s="319"/>
      <c r="BC14" s="324"/>
      <c r="BD14" s="45"/>
      <c r="BE14" s="418"/>
      <c r="BF14" s="418"/>
      <c r="BG14" s="418"/>
      <c r="BH14" s="418"/>
      <c r="BI14" s="45"/>
      <c r="BJ14" s="418"/>
      <c r="BK14" s="413"/>
      <c r="BL14" s="418"/>
      <c r="BM14" s="418"/>
      <c r="BN14" s="418"/>
      <c r="BO14" s="418"/>
      <c r="BP14" s="418"/>
      <c r="BQ14" s="418"/>
      <c r="BR14" s="414"/>
      <c r="BS14" s="418"/>
      <c r="BT14" s="418"/>
      <c r="BU14" s="418"/>
      <c r="BV14" s="418"/>
      <c r="BW14" s="418"/>
      <c r="BX14" s="45"/>
    </row>
    <row r="15" spans="1:76">
      <c r="A15" s="418"/>
      <c r="B15" s="418" t="str">
        <f>'BANG LUONG 1'!B15</f>
        <v>NV47</v>
      </c>
      <c r="C15" s="418" t="str">
        <f>'BANG LUONG 1'!C15</f>
        <v>Bùi Trọng Nghĩa</v>
      </c>
      <c r="D15" s="418" t="str">
        <f>'BANG LUONG 1'!D15</f>
        <v xml:space="preserve">Công nhân </v>
      </c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7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5"/>
      <c r="AL15" s="419"/>
      <c r="AM15" s="723"/>
      <c r="AN15" s="419"/>
      <c r="AO15" s="76"/>
      <c r="AP15" s="53"/>
      <c r="AQ15" s="330"/>
      <c r="AR15" s="330"/>
      <c r="AS15" s="330"/>
      <c r="AT15" s="330"/>
      <c r="AU15" s="330"/>
      <c r="AV15" s="330"/>
      <c r="AW15" s="319"/>
      <c r="AX15" s="319"/>
      <c r="AY15" s="319"/>
      <c r="AZ15" s="319"/>
      <c r="BA15" s="319"/>
      <c r="BB15" s="319"/>
      <c r="BC15" s="324"/>
      <c r="BD15" s="45"/>
      <c r="BE15" s="418"/>
      <c r="BF15" s="418"/>
      <c r="BG15" s="418"/>
      <c r="BH15" s="418"/>
      <c r="BI15" s="45"/>
      <c r="BJ15" s="418"/>
      <c r="BK15" s="413"/>
      <c r="BL15" s="418"/>
      <c r="BM15" s="418"/>
      <c r="BN15" s="418"/>
      <c r="BO15" s="418"/>
      <c r="BP15" s="418"/>
      <c r="BQ15" s="418"/>
      <c r="BR15" s="414"/>
      <c r="BS15" s="418"/>
      <c r="BT15" s="418"/>
      <c r="BU15" s="418"/>
      <c r="BV15" s="418"/>
      <c r="BW15" s="418"/>
      <c r="BX15" s="45"/>
    </row>
    <row r="16" spans="1:76">
      <c r="A16" s="418">
        <f>'BANG LUONG 1'!A41</f>
        <v>37</v>
      </c>
      <c r="B16" s="418" t="str">
        <f>'BANG LUONG 1'!B16</f>
        <v>NV38</v>
      </c>
      <c r="C16" s="418" t="str">
        <f>'BANG LUONG 1'!C16</f>
        <v>Nguyễn Văn Rắng</v>
      </c>
      <c r="D16" s="418" t="str">
        <f>'BANG LUONG 1'!D16</f>
        <v xml:space="preserve">Công nhân </v>
      </c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  <c r="U16" s="47"/>
      <c r="V16" s="419"/>
      <c r="W16" s="419"/>
      <c r="X16" s="419"/>
      <c r="Y16" s="419"/>
      <c r="Z16" s="419"/>
      <c r="AA16" s="419"/>
      <c r="AB16" s="419"/>
      <c r="AC16" s="419"/>
      <c r="AD16" s="419"/>
      <c r="AE16" s="419"/>
      <c r="AF16" s="419"/>
      <c r="AG16" s="419"/>
      <c r="AH16" s="419"/>
      <c r="AI16" s="419"/>
      <c r="AJ16" s="419"/>
      <c r="AK16" s="45"/>
      <c r="AL16" s="419"/>
      <c r="AM16" s="723"/>
      <c r="AN16" s="419"/>
      <c r="AO16" s="76"/>
      <c r="AP16" s="53"/>
      <c r="AQ16" s="330"/>
      <c r="AR16" s="330"/>
      <c r="AS16" s="330"/>
      <c r="AT16" s="330"/>
      <c r="AU16" s="330"/>
      <c r="AV16" s="330"/>
      <c r="AW16" s="319"/>
      <c r="AX16" s="319"/>
      <c r="AY16" s="319"/>
      <c r="AZ16" s="319"/>
      <c r="BA16" s="319"/>
      <c r="BB16" s="319"/>
      <c r="BC16" s="324"/>
      <c r="BD16" s="45"/>
      <c r="BE16" s="418"/>
      <c r="BF16" s="418"/>
      <c r="BG16" s="418"/>
      <c r="BH16" s="418"/>
      <c r="BI16" s="45"/>
      <c r="BJ16" s="418"/>
      <c r="BK16" s="418"/>
      <c r="BL16" s="418"/>
      <c r="BM16" s="418"/>
      <c r="BN16" s="418"/>
      <c r="BO16" s="418"/>
      <c r="BP16" s="418"/>
      <c r="BQ16" s="418"/>
      <c r="BR16" s="414"/>
      <c r="BS16" s="418"/>
      <c r="BT16" s="418"/>
      <c r="BU16" s="418"/>
      <c r="BV16" s="418"/>
      <c r="BW16" s="418"/>
      <c r="BX16" s="45"/>
    </row>
    <row r="17" spans="1:76" ht="15.6">
      <c r="A17" s="418"/>
      <c r="B17" s="418" t="str">
        <f>'BANG LUONG 1'!B19</f>
        <v>NV13</v>
      </c>
      <c r="C17" s="418" t="str">
        <f>'BANG LUONG 1'!C19</f>
        <v>Triệu Minh Tú</v>
      </c>
      <c r="D17" s="418" t="str">
        <f>'BANG LUONG 1'!D19</f>
        <v>Lái xe cơ giới</v>
      </c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  <c r="U17" s="47"/>
      <c r="V17" s="419"/>
      <c r="W17" s="419"/>
      <c r="X17" s="419"/>
      <c r="Y17" s="419"/>
      <c r="Z17" s="419"/>
      <c r="AA17" s="419"/>
      <c r="AB17" s="419"/>
      <c r="AC17" s="419"/>
      <c r="AD17" s="419"/>
      <c r="AE17" s="419"/>
      <c r="AF17" s="419"/>
      <c r="AG17" s="419"/>
      <c r="AH17" s="419"/>
      <c r="AI17" s="419"/>
      <c r="AJ17" s="419"/>
      <c r="AK17" s="45"/>
      <c r="AM17" s="419"/>
      <c r="AN17" s="419"/>
      <c r="AO17" s="808"/>
      <c r="AP17" s="53"/>
      <c r="AQ17" s="330"/>
      <c r="AR17" s="330"/>
      <c r="AS17" s="330"/>
      <c r="AT17" s="330"/>
      <c r="AU17" s="330"/>
      <c r="AV17" s="330"/>
      <c r="AW17" s="319"/>
      <c r="AX17" s="319"/>
      <c r="AY17" s="319"/>
      <c r="AZ17" s="319"/>
      <c r="BA17" s="319"/>
      <c r="BB17" s="319"/>
      <c r="BC17" s="324"/>
      <c r="BD17" s="45"/>
      <c r="BE17" s="418"/>
      <c r="BF17" s="418"/>
      <c r="BG17" s="418"/>
      <c r="BH17" s="418"/>
      <c r="BI17" s="45"/>
      <c r="BJ17" s="418"/>
      <c r="BK17" s="418"/>
      <c r="BL17" s="418"/>
      <c r="BM17" s="418"/>
      <c r="BN17" s="418"/>
      <c r="BO17" s="418"/>
      <c r="BP17" s="418"/>
      <c r="BQ17" s="418"/>
      <c r="BR17" s="414"/>
      <c r="BS17" s="418"/>
      <c r="BT17" s="418"/>
      <c r="BU17" s="418"/>
      <c r="BV17" s="418"/>
      <c r="BW17" s="418"/>
      <c r="BX17" s="45"/>
    </row>
    <row r="18" spans="1:76">
      <c r="A18" s="418">
        <f>'BANG LUONG 1'!A19</f>
        <v>13</v>
      </c>
      <c r="B18" s="418" t="str">
        <f>'BANG LUONG 1'!B20</f>
        <v>NV14</v>
      </c>
      <c r="C18" s="418" t="str">
        <f>'BANG LUONG 1'!C20</f>
        <v>Nguyễn Văn Chạy</v>
      </c>
      <c r="D18" s="418" t="str">
        <f>'BANG LUONG 1'!D20</f>
        <v>Lái xe cơ giới</v>
      </c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  <c r="U18" s="47"/>
      <c r="V18" s="419"/>
      <c r="W18" s="419"/>
      <c r="X18" s="419"/>
      <c r="Y18" s="419"/>
      <c r="Z18" s="419"/>
      <c r="AA18" s="419"/>
      <c r="AB18" s="419"/>
      <c r="AC18" s="419"/>
      <c r="AD18" s="419"/>
      <c r="AE18" s="419"/>
      <c r="AF18" s="419"/>
      <c r="AG18" s="419"/>
      <c r="AH18" s="419"/>
      <c r="AI18" s="419"/>
      <c r="AJ18" s="419"/>
      <c r="AK18" s="45"/>
      <c r="AL18" s="419"/>
      <c r="AM18" s="419"/>
      <c r="AN18" s="419"/>
      <c r="AO18" s="76"/>
      <c r="AP18" s="53"/>
      <c r="AQ18" s="330"/>
      <c r="AR18" s="330"/>
      <c r="AS18" s="330"/>
      <c r="AT18" s="330"/>
      <c r="AU18" s="330"/>
      <c r="AV18" s="330"/>
      <c r="AW18" s="319"/>
      <c r="AX18" s="319"/>
      <c r="AY18" s="319"/>
      <c r="AZ18" s="319"/>
      <c r="BA18" s="319"/>
      <c r="BB18" s="319"/>
      <c r="BC18" s="324"/>
      <c r="BD18" s="45"/>
      <c r="BE18" s="418"/>
      <c r="BF18" s="418"/>
      <c r="BG18" s="418"/>
      <c r="BH18" s="418"/>
      <c r="BI18" s="45"/>
      <c r="BJ18" s="418"/>
      <c r="BK18" s="418"/>
      <c r="BL18" s="418"/>
      <c r="BM18" s="418"/>
      <c r="BN18" s="418"/>
      <c r="BO18" s="418"/>
      <c r="BP18" s="418"/>
      <c r="BQ18" s="418"/>
      <c r="BR18" s="414"/>
      <c r="BS18" s="418"/>
      <c r="BT18" s="418"/>
      <c r="BU18" s="418"/>
      <c r="BV18" s="418"/>
      <c r="BW18" s="418"/>
      <c r="BX18" s="45"/>
    </row>
    <row r="19" spans="1:76">
      <c r="A19" s="418">
        <f>'BANG LUONG 1'!A20</f>
        <v>14</v>
      </c>
      <c r="B19" s="418" t="str">
        <f>'BANG LUONG 1'!B21</f>
        <v>NV15</v>
      </c>
      <c r="C19" s="418" t="str">
        <f>'BANG LUONG 1'!C21</f>
        <v>Hà Hoàng Hùng</v>
      </c>
      <c r="D19" s="418" t="str">
        <f>'BANG LUONG 1'!D21</f>
        <v>Lái xe cơ giới</v>
      </c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  <c r="U19" s="47"/>
      <c r="V19" s="419"/>
      <c r="W19" s="419"/>
      <c r="X19" s="419"/>
      <c r="Y19" s="419"/>
      <c r="Z19" s="419"/>
      <c r="AA19" s="419"/>
      <c r="AB19" s="419"/>
      <c r="AC19" s="419"/>
      <c r="AD19" s="419"/>
      <c r="AE19" s="419"/>
      <c r="AF19" s="419"/>
      <c r="AG19" s="419"/>
      <c r="AH19" s="419"/>
      <c r="AI19" s="419"/>
      <c r="AJ19" s="419"/>
      <c r="AK19" s="45"/>
      <c r="AL19" s="419"/>
      <c r="AM19" s="419"/>
      <c r="AN19" s="419"/>
      <c r="AO19" s="76"/>
      <c r="AP19" s="53"/>
      <c r="AQ19" s="330"/>
      <c r="AR19" s="330"/>
      <c r="AS19" s="330"/>
      <c r="AT19" s="330"/>
      <c r="AU19" s="330"/>
      <c r="AV19" s="330"/>
      <c r="AW19" s="319"/>
      <c r="AX19" s="319"/>
      <c r="AY19" s="319"/>
      <c r="AZ19" s="319"/>
      <c r="BA19" s="319"/>
      <c r="BB19" s="319"/>
      <c r="BC19" s="324"/>
      <c r="BD19" s="45"/>
      <c r="BE19" s="418"/>
      <c r="BF19" s="418"/>
      <c r="BG19" s="418"/>
      <c r="BH19" s="418"/>
      <c r="BI19" s="45"/>
      <c r="BJ19" s="418"/>
      <c r="BK19" s="418"/>
      <c r="BL19" s="418"/>
      <c r="BM19" s="418"/>
      <c r="BN19" s="418"/>
      <c r="BO19" s="418"/>
      <c r="BP19" s="418"/>
      <c r="BQ19" s="418"/>
      <c r="BR19" s="414"/>
      <c r="BS19" s="418"/>
      <c r="BT19" s="418"/>
      <c r="BU19" s="418"/>
      <c r="BV19" s="418"/>
      <c r="BW19" s="418"/>
      <c r="BX19" s="45"/>
    </row>
    <row r="20" spans="1:76" ht="22.5" customHeight="1">
      <c r="A20" s="418">
        <f>'BANG LUONG 1'!A21</f>
        <v>15</v>
      </c>
      <c r="B20" s="418" t="str">
        <f>'BANG LUONG 1'!B22</f>
        <v>NV16</v>
      </c>
      <c r="C20" s="418" t="str">
        <f>'BANG LUONG 1'!C22</f>
        <v>Châu Thành Nhân</v>
      </c>
      <c r="D20" s="418" t="str">
        <f>'BANG LUONG 1'!D22</f>
        <v>Lái xe cơ giới</v>
      </c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  <c r="U20" s="47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9"/>
      <c r="AK20" s="45"/>
      <c r="AL20" s="419"/>
      <c r="AM20" s="419"/>
      <c r="AN20" s="419"/>
      <c r="AO20" s="76"/>
      <c r="AP20" s="53"/>
      <c r="AQ20" s="330"/>
      <c r="AR20" s="330"/>
      <c r="AS20" s="330"/>
      <c r="AT20" s="330"/>
      <c r="AU20" s="330"/>
      <c r="AV20" s="330"/>
      <c r="AW20" s="319"/>
      <c r="AX20" s="319"/>
      <c r="AY20" s="319"/>
      <c r="AZ20" s="319"/>
      <c r="BA20" s="319"/>
      <c r="BB20" s="319"/>
      <c r="BC20" s="324"/>
      <c r="BD20" s="45"/>
      <c r="BE20" s="418"/>
      <c r="BF20" s="418"/>
      <c r="BG20" s="418"/>
      <c r="BH20" s="418"/>
      <c r="BI20" s="45"/>
      <c r="BJ20" s="418"/>
      <c r="BK20" s="418"/>
      <c r="BL20" s="418"/>
      <c r="BM20" s="418"/>
      <c r="BN20" s="418"/>
      <c r="BO20" s="418"/>
      <c r="BP20" s="418"/>
      <c r="BQ20" s="418"/>
      <c r="BR20" s="414"/>
      <c r="BS20" s="418"/>
      <c r="BT20" s="418"/>
      <c r="BU20" s="418"/>
      <c r="BV20" s="418"/>
      <c r="BW20" s="418"/>
      <c r="BX20" s="45"/>
    </row>
    <row r="21" spans="1:76">
      <c r="A21" s="418">
        <f>'BANG LUONG 1'!A22</f>
        <v>16</v>
      </c>
      <c r="B21" s="418" t="str">
        <f>'BANG LUONG 1'!B23</f>
        <v>NV18</v>
      </c>
      <c r="C21" s="418" t="str">
        <f>'BANG LUONG 1'!C23</f>
        <v>Châu Văn Phước</v>
      </c>
      <c r="D21" s="418" t="str">
        <f>'BANG LUONG 1'!D23</f>
        <v>Lái xe cơ giới</v>
      </c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  <c r="U21" s="47"/>
      <c r="V21" s="419"/>
      <c r="W21" s="419"/>
      <c r="X21" s="419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5"/>
      <c r="AL21" s="419"/>
      <c r="AM21" s="419"/>
      <c r="AN21" s="419"/>
      <c r="AO21" s="76"/>
      <c r="AP21" s="53"/>
      <c r="AQ21" s="330"/>
      <c r="AR21" s="330"/>
      <c r="AS21" s="330"/>
      <c r="AT21" s="330"/>
      <c r="AU21" s="330"/>
      <c r="AV21" s="330"/>
      <c r="AW21" s="319"/>
      <c r="AX21" s="319"/>
      <c r="AY21" s="319"/>
      <c r="AZ21" s="319"/>
      <c r="BA21" s="319"/>
      <c r="BB21" s="319"/>
      <c r="BC21" s="324"/>
      <c r="BD21" s="45"/>
      <c r="BE21" s="418"/>
      <c r="BF21" s="418"/>
      <c r="BG21" s="418"/>
      <c r="BH21" s="418"/>
      <c r="BI21" s="45"/>
      <c r="BJ21" s="418"/>
      <c r="BK21" s="418"/>
      <c r="BL21" s="418"/>
      <c r="BM21" s="418"/>
      <c r="BN21" s="418"/>
      <c r="BO21" s="418"/>
      <c r="BP21" s="418"/>
      <c r="BQ21" s="418"/>
      <c r="BR21" s="414"/>
      <c r="BS21" s="418"/>
      <c r="BT21" s="418"/>
      <c r="BU21" s="418"/>
      <c r="BV21" s="418"/>
      <c r="BW21" s="418"/>
      <c r="BX21" s="45"/>
    </row>
    <row r="22" spans="1:76">
      <c r="A22" s="418">
        <f>'BANG LUONG 1'!A23</f>
        <v>18</v>
      </c>
      <c r="B22" s="418" t="str">
        <f>'BANG LUONG 1'!B24</f>
        <v>NV19</v>
      </c>
      <c r="C22" s="418" t="str">
        <f>'BANG LUONG 1'!C24</f>
        <v>Thạch Giàu</v>
      </c>
      <c r="D22" s="418" t="str">
        <f>'BANG LUONG 1'!D24</f>
        <v>Lái xe cơ giới</v>
      </c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7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  <c r="AJ22" s="419"/>
      <c r="AK22" s="45"/>
      <c r="AL22" s="419"/>
      <c r="AM22" s="419"/>
      <c r="AN22" s="419"/>
      <c r="AO22" s="76"/>
      <c r="AP22" s="53"/>
      <c r="AQ22" s="330"/>
      <c r="AR22" s="330"/>
      <c r="AS22" s="330"/>
      <c r="AT22" s="330"/>
      <c r="AU22" s="330"/>
      <c r="AV22" s="330"/>
      <c r="AW22" s="319"/>
      <c r="AX22" s="319"/>
      <c r="AY22" s="319"/>
      <c r="AZ22" s="319"/>
      <c r="BA22" s="319"/>
      <c r="BB22" s="319"/>
      <c r="BC22" s="324"/>
      <c r="BD22" s="45"/>
      <c r="BE22" s="418"/>
      <c r="BF22" s="418"/>
      <c r="BG22" s="418"/>
      <c r="BH22" s="418"/>
      <c r="BI22" s="45"/>
      <c r="BJ22" s="418"/>
      <c r="BK22" s="418"/>
      <c r="BL22" s="418"/>
      <c r="BM22" s="418"/>
      <c r="BN22" s="418"/>
      <c r="BO22" s="418"/>
      <c r="BP22" s="418"/>
      <c r="BQ22" s="418"/>
      <c r="BR22" s="414"/>
      <c r="BS22" s="418"/>
      <c r="BT22" s="418"/>
      <c r="BU22" s="418"/>
      <c r="BV22" s="418"/>
      <c r="BW22" s="418"/>
      <c r="BX22" s="45"/>
    </row>
    <row r="23" spans="1:76">
      <c r="A23" s="418">
        <f>'BANG LUONG 1'!A24</f>
        <v>19</v>
      </c>
      <c r="B23" s="418" t="str">
        <f>'BANG LUONG 1'!B25</f>
        <v>NV20</v>
      </c>
      <c r="C23" s="418" t="str">
        <f>'BANG LUONG 1'!C25</f>
        <v>Trần Thanh Hậu</v>
      </c>
      <c r="D23" s="418" t="str">
        <f>'BANG LUONG 1'!D25</f>
        <v>Lái xe cơ giới</v>
      </c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  <c r="U23" s="47"/>
      <c r="V23" s="419"/>
      <c r="W23" s="419"/>
      <c r="X23" s="419"/>
      <c r="Y23" s="419"/>
      <c r="Z23" s="419"/>
      <c r="AA23" s="419"/>
      <c r="AB23" s="419"/>
      <c r="AC23" s="419"/>
      <c r="AD23" s="419"/>
      <c r="AE23" s="419"/>
      <c r="AF23" s="419"/>
      <c r="AG23" s="419"/>
      <c r="AH23" s="419"/>
      <c r="AI23" s="419"/>
      <c r="AJ23" s="419"/>
      <c r="AK23" s="45"/>
      <c r="AL23" s="419"/>
      <c r="AM23" s="419"/>
      <c r="AN23" s="419"/>
      <c r="AO23" s="76"/>
      <c r="AP23" s="53"/>
      <c r="AQ23" s="330"/>
      <c r="AR23" s="330"/>
      <c r="AS23" s="330"/>
      <c r="AT23" s="330"/>
      <c r="AU23" s="330"/>
      <c r="AV23" s="330"/>
      <c r="AW23" s="319"/>
      <c r="AX23" s="319"/>
      <c r="AY23" s="319"/>
      <c r="AZ23" s="319"/>
      <c r="BA23" s="319"/>
      <c r="BB23" s="319"/>
      <c r="BC23" s="324"/>
      <c r="BD23" s="45"/>
      <c r="BE23" s="418"/>
      <c r="BF23" s="418"/>
      <c r="BG23" s="418"/>
      <c r="BH23" s="418"/>
      <c r="BI23" s="45"/>
      <c r="BJ23" s="418"/>
      <c r="BK23" s="418"/>
      <c r="BL23" s="418"/>
      <c r="BM23" s="418"/>
      <c r="BN23" s="418"/>
      <c r="BO23" s="418"/>
      <c r="BP23" s="418"/>
      <c r="BQ23" s="418"/>
      <c r="BR23" s="414"/>
      <c r="BS23" s="418"/>
      <c r="BT23" s="418"/>
      <c r="BU23" s="418"/>
      <c r="BV23" s="418"/>
      <c r="BW23" s="418"/>
      <c r="BX23" s="45"/>
    </row>
    <row r="24" spans="1:76">
      <c r="A24" s="418">
        <f>'BANG LUONG 1'!A25</f>
        <v>20</v>
      </c>
      <c r="B24" s="418" t="str">
        <f>'BANG LUONG 1'!B26</f>
        <v>NV21</v>
      </c>
      <c r="C24" s="418" t="str">
        <f>'BANG LUONG 1'!C26</f>
        <v xml:space="preserve">Trần Văn Thứ </v>
      </c>
      <c r="D24" s="418" t="str">
        <f>'BANG LUONG 1'!D26</f>
        <v>Lái xe cơ giới</v>
      </c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  <c r="U24" s="47"/>
      <c r="V24" s="419"/>
      <c r="W24" s="419"/>
      <c r="X24" s="419"/>
      <c r="Y24" s="419"/>
      <c r="Z24" s="419"/>
      <c r="AA24" s="419"/>
      <c r="AB24" s="419"/>
      <c r="AC24" s="419"/>
      <c r="AD24" s="419"/>
      <c r="AE24" s="419"/>
      <c r="AF24" s="419"/>
      <c r="AG24" s="419"/>
      <c r="AH24" s="419"/>
      <c r="AI24" s="419"/>
      <c r="AJ24" s="419"/>
      <c r="AK24" s="45"/>
      <c r="AL24" s="419"/>
      <c r="AM24" s="419"/>
      <c r="AN24" s="419"/>
      <c r="AO24" s="76"/>
      <c r="AP24" s="53"/>
      <c r="AQ24" s="330"/>
      <c r="AR24" s="330"/>
      <c r="AS24" s="330"/>
      <c r="AT24" s="330"/>
      <c r="AU24" s="330"/>
      <c r="AV24" s="330"/>
      <c r="AW24" s="319"/>
      <c r="AX24" s="319"/>
      <c r="AY24" s="319"/>
      <c r="AZ24" s="319"/>
      <c r="BA24" s="319"/>
      <c r="BB24" s="319"/>
      <c r="BC24" s="324"/>
      <c r="BD24" s="45"/>
      <c r="BE24" s="418"/>
      <c r="BF24" s="418"/>
      <c r="BG24" s="418"/>
      <c r="BH24" s="418"/>
      <c r="BI24" s="45"/>
      <c r="BJ24" s="418"/>
      <c r="BK24" s="418"/>
      <c r="BL24" s="418"/>
      <c r="BM24" s="418"/>
      <c r="BN24" s="418"/>
      <c r="BO24" s="418"/>
      <c r="BP24" s="418"/>
      <c r="BQ24" s="418"/>
      <c r="BR24" s="414"/>
      <c r="BS24" s="418"/>
      <c r="BT24" s="418"/>
      <c r="BU24" s="418"/>
      <c r="BV24" s="418"/>
      <c r="BW24" s="418"/>
      <c r="BX24" s="45"/>
    </row>
    <row r="25" spans="1:76">
      <c r="A25" s="418">
        <f>'BANG LUONG 1'!A26</f>
        <v>21</v>
      </c>
      <c r="B25" s="418" t="str">
        <f>'BANG LUONG 1'!B27</f>
        <v>NV22</v>
      </c>
      <c r="C25" s="418" t="str">
        <f>'BANG LUONG 1'!C27</f>
        <v>Lê Tấn Phát</v>
      </c>
      <c r="D25" s="418" t="str">
        <f>'BANG LUONG 1'!D27</f>
        <v>Lái xe cơ giới</v>
      </c>
      <c r="E25" s="419"/>
      <c r="F25" s="419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  <c r="U25" s="47"/>
      <c r="V25" s="419"/>
      <c r="W25" s="419"/>
      <c r="X25" s="419"/>
      <c r="Y25" s="419"/>
      <c r="Z25" s="419"/>
      <c r="AA25" s="419"/>
      <c r="AB25" s="419"/>
      <c r="AC25" s="419"/>
      <c r="AD25" s="419"/>
      <c r="AE25" s="419"/>
      <c r="AF25" s="419"/>
      <c r="AG25" s="419"/>
      <c r="AH25" s="419"/>
      <c r="AI25" s="419"/>
      <c r="AJ25" s="419"/>
      <c r="AK25" s="45"/>
      <c r="AL25" s="419"/>
      <c r="AM25" s="723"/>
      <c r="AN25" s="419"/>
      <c r="AO25" s="76"/>
      <c r="AP25" s="53"/>
      <c r="AQ25" s="330"/>
      <c r="AR25" s="330"/>
      <c r="AS25" s="330"/>
      <c r="AT25" s="330"/>
      <c r="AU25" s="330"/>
      <c r="AV25" s="330"/>
      <c r="AW25" s="319"/>
      <c r="AX25" s="319"/>
      <c r="AY25" s="319"/>
      <c r="AZ25" s="319"/>
      <c r="BA25" s="319"/>
      <c r="BB25" s="319"/>
      <c r="BC25" s="324"/>
      <c r="BD25" s="45"/>
      <c r="BE25" s="418"/>
      <c r="BF25" s="418"/>
      <c r="BG25" s="418"/>
      <c r="BH25" s="418"/>
      <c r="BI25" s="45"/>
      <c r="BJ25" s="418"/>
      <c r="BK25" s="418"/>
      <c r="BL25" s="418"/>
      <c r="BM25" s="418"/>
      <c r="BN25" s="418"/>
      <c r="BO25" s="418"/>
      <c r="BP25" s="418"/>
      <c r="BQ25" s="418"/>
      <c r="BR25" s="414"/>
      <c r="BS25" s="418"/>
      <c r="BT25" s="418"/>
      <c r="BU25" s="418"/>
      <c r="BV25" s="418"/>
      <c r="BW25" s="418"/>
      <c r="BX25" s="45"/>
    </row>
    <row r="26" spans="1:76">
      <c r="A26" s="418">
        <f>'BANG LUONG 1'!A27</f>
        <v>22</v>
      </c>
      <c r="B26" s="418" t="str">
        <f>'BANG LUONG 1'!B28</f>
        <v>NV23</v>
      </c>
      <c r="C26" s="418" t="str">
        <f>'BANG LUONG 1'!C28</f>
        <v>Quách Văn Chánh</v>
      </c>
      <c r="D26" s="418" t="str">
        <f>'BANG LUONG 1'!D28</f>
        <v xml:space="preserve">Công nhân </v>
      </c>
      <c r="E26" s="419"/>
      <c r="F26" s="419"/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  <c r="U26" s="47"/>
      <c r="V26" s="419"/>
      <c r="W26" s="419"/>
      <c r="X26" s="41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419"/>
      <c r="AJ26" s="419"/>
      <c r="AK26" s="45"/>
      <c r="AL26" s="419"/>
      <c r="AM26" s="419"/>
      <c r="AN26" s="419"/>
      <c r="AO26" s="76"/>
      <c r="AP26" s="53"/>
      <c r="AQ26" s="330"/>
      <c r="AR26" s="330"/>
      <c r="AS26" s="330"/>
      <c r="AT26" s="330"/>
      <c r="AU26" s="330"/>
      <c r="AV26" s="330"/>
      <c r="AW26" s="319"/>
      <c r="AX26" s="319"/>
      <c r="AY26" s="319"/>
      <c r="AZ26" s="319"/>
      <c r="BA26" s="319"/>
      <c r="BB26" s="319"/>
      <c r="BC26" s="324"/>
      <c r="BD26" s="45"/>
      <c r="BE26" s="418"/>
      <c r="BF26" s="418"/>
      <c r="BG26" s="418"/>
      <c r="BH26" s="418"/>
      <c r="BI26" s="45"/>
      <c r="BJ26" s="418"/>
      <c r="BK26" s="418"/>
      <c r="BL26" s="418"/>
      <c r="BM26" s="418"/>
      <c r="BN26" s="418"/>
      <c r="BO26" s="418"/>
      <c r="BP26" s="418"/>
      <c r="BQ26" s="418"/>
      <c r="BR26" s="825"/>
      <c r="BS26" s="418"/>
      <c r="BT26" s="418"/>
      <c r="BU26" s="418"/>
      <c r="BV26" s="418"/>
      <c r="BW26" s="418"/>
      <c r="BX26" s="45"/>
    </row>
    <row r="27" spans="1:76" ht="22.8">
      <c r="A27" s="418">
        <f>'BANG LUONG 1'!A28</f>
        <v>23</v>
      </c>
      <c r="B27" s="418" t="str">
        <f>'BANG LUONG 1'!B29</f>
        <v>NV24</v>
      </c>
      <c r="C27" s="418" t="str">
        <f>'BANG LUONG 1'!C29</f>
        <v>Trần văn Nguyện</v>
      </c>
      <c r="D27" s="418" t="str">
        <f>'BANG LUONG 1'!D29</f>
        <v>Công nhân  (TX )</v>
      </c>
      <c r="E27" s="419"/>
      <c r="F27" s="419"/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  <c r="U27" s="47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5"/>
      <c r="AL27" s="419"/>
      <c r="AM27" s="419"/>
      <c r="AN27" s="419"/>
      <c r="AO27" s="76"/>
      <c r="AP27" s="53"/>
      <c r="AQ27" s="330"/>
      <c r="AR27" s="330"/>
      <c r="AS27" s="330"/>
      <c r="AT27" s="330"/>
      <c r="AU27" s="330"/>
      <c r="AV27" s="330"/>
      <c r="AW27" s="319"/>
      <c r="AX27" s="319"/>
      <c r="AY27" s="319"/>
      <c r="AZ27" s="319"/>
      <c r="BA27" s="319"/>
      <c r="BB27" s="319"/>
      <c r="BC27" s="324"/>
      <c r="BD27" s="45"/>
      <c r="BE27" s="418"/>
      <c r="BF27" s="418"/>
      <c r="BG27" s="418"/>
      <c r="BH27" s="418"/>
      <c r="BI27" s="45"/>
      <c r="BJ27" s="418"/>
      <c r="BK27" s="418"/>
      <c r="BL27" s="418"/>
      <c r="BM27" s="418"/>
      <c r="BN27" s="418"/>
      <c r="BO27" s="418"/>
      <c r="BP27" s="418"/>
      <c r="BQ27" s="418"/>
      <c r="BR27" s="414"/>
      <c r="BS27" s="418"/>
      <c r="BT27" s="418"/>
      <c r="BU27" s="418"/>
      <c r="BV27" s="418"/>
      <c r="BW27" s="418"/>
      <c r="BX27" s="45"/>
    </row>
    <row r="28" spans="1:76">
      <c r="A28" s="418">
        <f>'BANG LUONG 1'!A29</f>
        <v>24</v>
      </c>
      <c r="B28" s="418" t="str">
        <f>'BANG LUONG 1'!B30</f>
        <v>NV25</v>
      </c>
      <c r="C28" s="418" t="str">
        <f>'BANG LUONG 1'!C30</f>
        <v>Châu Văn Tâm</v>
      </c>
      <c r="D28" s="418" t="str">
        <f>'BANG LUONG 1'!D30</f>
        <v>Lái xe cơ giới</v>
      </c>
      <c r="E28" s="419"/>
      <c r="F28" s="419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  <c r="U28" s="47"/>
      <c r="V28" s="419"/>
      <c r="W28" s="419"/>
      <c r="X28" s="419"/>
      <c r="Y28" s="419"/>
      <c r="Z28" s="419"/>
      <c r="AA28" s="419"/>
      <c r="AB28" s="419"/>
      <c r="AC28" s="419"/>
      <c r="AD28" s="419"/>
      <c r="AE28" s="419"/>
      <c r="AF28" s="419"/>
      <c r="AG28" s="419"/>
      <c r="AH28" s="419"/>
      <c r="AI28" s="419"/>
      <c r="AJ28" s="419"/>
      <c r="AK28" s="45"/>
      <c r="AL28" s="419"/>
      <c r="AM28" s="419"/>
      <c r="AN28" s="419"/>
      <c r="AO28" s="76"/>
      <c r="AP28" s="53"/>
      <c r="AQ28" s="330"/>
      <c r="AR28" s="330"/>
      <c r="AS28" s="330"/>
      <c r="AT28" s="330"/>
      <c r="AU28" s="330"/>
      <c r="AV28" s="330"/>
      <c r="AW28" s="319"/>
      <c r="AX28" s="319"/>
      <c r="AY28" s="319"/>
      <c r="AZ28" s="319"/>
      <c r="BA28" s="319"/>
      <c r="BB28" s="319"/>
      <c r="BC28" s="324"/>
      <c r="BD28" s="45"/>
      <c r="BE28" s="418"/>
      <c r="BF28" s="418"/>
      <c r="BG28" s="418"/>
      <c r="BH28" s="418"/>
      <c r="BI28" s="45"/>
      <c r="BJ28" s="418"/>
      <c r="BK28" s="418"/>
      <c r="BL28" s="418"/>
      <c r="BM28" s="330"/>
      <c r="BN28" s="418"/>
      <c r="BO28" s="418"/>
      <c r="BP28" s="418"/>
      <c r="BQ28" s="418"/>
      <c r="BR28" s="414"/>
      <c r="BS28" s="418"/>
      <c r="BT28" s="418"/>
      <c r="BU28" s="418"/>
      <c r="BV28" s="418"/>
      <c r="BW28" s="418"/>
      <c r="BX28" s="45"/>
    </row>
    <row r="29" spans="1:76">
      <c r="A29" s="418">
        <f>'BANG LUONG 1'!A30</f>
        <v>25</v>
      </c>
      <c r="B29" s="418" t="str">
        <f>'BANG LUONG 1'!B31</f>
        <v>NV26</v>
      </c>
      <c r="C29" s="418" t="str">
        <f>'BANG LUONG 1'!C31</f>
        <v>Trần Ngọc Sơn</v>
      </c>
      <c r="D29" s="418" t="str">
        <f>'BANG LUONG 1'!D31</f>
        <v>Lái xe cơ giới</v>
      </c>
      <c r="E29" s="419"/>
      <c r="F29" s="419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  <c r="U29" s="47"/>
      <c r="V29" s="419"/>
      <c r="W29" s="419"/>
      <c r="X29" s="419"/>
      <c r="Y29" s="419"/>
      <c r="Z29" s="419"/>
      <c r="AA29" s="419"/>
      <c r="AB29" s="419"/>
      <c r="AC29" s="419"/>
      <c r="AD29" s="419"/>
      <c r="AE29" s="419"/>
      <c r="AF29" s="419"/>
      <c r="AG29" s="419"/>
      <c r="AH29" s="419"/>
      <c r="AI29" s="419"/>
      <c r="AJ29" s="419"/>
      <c r="AK29" s="45"/>
      <c r="AL29" s="419"/>
      <c r="AM29" s="419"/>
      <c r="AN29" s="419"/>
      <c r="AO29" s="76"/>
      <c r="AP29" s="53"/>
      <c r="AQ29" s="330"/>
      <c r="AR29" s="330"/>
      <c r="AS29" s="330"/>
      <c r="AT29" s="330"/>
      <c r="AU29" s="330"/>
      <c r="AV29" s="330"/>
      <c r="AW29" s="319"/>
      <c r="AX29" s="319"/>
      <c r="AY29" s="319"/>
      <c r="AZ29" s="319"/>
      <c r="BA29" s="319"/>
      <c r="BB29" s="319"/>
      <c r="BC29" s="324"/>
      <c r="BD29" s="45"/>
      <c r="BE29" s="418"/>
      <c r="BF29" s="418"/>
      <c r="BG29" s="418"/>
      <c r="BH29" s="418"/>
      <c r="BI29" s="45"/>
      <c r="BJ29" s="418"/>
      <c r="BK29" s="418"/>
      <c r="BL29" s="418"/>
      <c r="BM29" s="260"/>
      <c r="BN29" s="418"/>
      <c r="BO29" s="418"/>
      <c r="BP29" s="418"/>
      <c r="BQ29" s="418"/>
      <c r="BR29" s="414"/>
      <c r="BS29" s="418"/>
      <c r="BT29" s="418"/>
      <c r="BU29" s="418"/>
      <c r="BV29" s="418"/>
      <c r="BW29" s="418"/>
      <c r="BX29" s="45"/>
    </row>
    <row r="30" spans="1:76">
      <c r="A30" s="418">
        <f>'BANG LUONG 1'!A31</f>
        <v>26</v>
      </c>
      <c r="B30" s="418" t="str">
        <f>'BANG LUONG 1'!B32</f>
        <v>NV27</v>
      </c>
      <c r="C30" s="418" t="str">
        <f>'BANG LUONG 1'!C32</f>
        <v>Nguyễn Văn Tuấn</v>
      </c>
      <c r="D30" s="418" t="str">
        <f>'BANG LUONG 1'!D32</f>
        <v>Lái xe cơ giới</v>
      </c>
      <c r="E30" s="419"/>
      <c r="F30" s="41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  <c r="U30" s="47"/>
      <c r="V30" s="419"/>
      <c r="W30" s="419"/>
      <c r="X30" s="419"/>
      <c r="Y30" s="419"/>
      <c r="Z30" s="419"/>
      <c r="AA30" s="419"/>
      <c r="AB30" s="419"/>
      <c r="AC30" s="419"/>
      <c r="AD30" s="419"/>
      <c r="AE30" s="419"/>
      <c r="AF30" s="419"/>
      <c r="AG30" s="419"/>
      <c r="AH30" s="419"/>
      <c r="AI30" s="419"/>
      <c r="AJ30" s="419"/>
      <c r="AK30" s="45"/>
      <c r="AL30" s="419"/>
      <c r="AM30" s="419"/>
      <c r="AN30" s="419"/>
      <c r="AO30" s="76"/>
      <c r="AP30" s="53"/>
      <c r="AQ30" s="330"/>
      <c r="AR30" s="330"/>
      <c r="AS30" s="330"/>
      <c r="AT30" s="330"/>
      <c r="AU30" s="330"/>
      <c r="AV30" s="330"/>
      <c r="AW30" s="319"/>
      <c r="AX30" s="319"/>
      <c r="AY30" s="319"/>
      <c r="AZ30" s="319"/>
      <c r="BA30" s="319"/>
      <c r="BB30" s="319"/>
      <c r="BC30" s="324"/>
      <c r="BD30" s="45"/>
      <c r="BE30" s="418"/>
      <c r="BF30" s="418"/>
      <c r="BG30" s="418"/>
      <c r="BH30" s="418"/>
      <c r="BI30" s="45"/>
      <c r="BJ30" s="418"/>
      <c r="BK30" s="418"/>
      <c r="BL30" s="418"/>
      <c r="BM30" s="418"/>
      <c r="BN30" s="418"/>
      <c r="BO30" s="418"/>
      <c r="BP30" s="418"/>
      <c r="BQ30" s="418"/>
      <c r="BR30" s="414"/>
      <c r="BS30" s="418"/>
      <c r="BT30" s="418"/>
      <c r="BU30" s="418"/>
      <c r="BV30" s="418"/>
      <c r="BW30" s="418"/>
      <c r="BX30" s="45"/>
    </row>
    <row r="31" spans="1:76">
      <c r="A31" s="418">
        <f>'BANG LUONG 1'!A32</f>
        <v>27</v>
      </c>
      <c r="B31" s="418" t="str">
        <f>'BANG LUONG 1'!B33</f>
        <v>NV28</v>
      </c>
      <c r="C31" s="418" t="str">
        <f>'BANG LUONG 1'!C33</f>
        <v>Hà Thanh Truyền</v>
      </c>
      <c r="D31" s="418" t="str">
        <f>'BANG LUONG 1'!D33</f>
        <v>Lái xe cơ giới</v>
      </c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7"/>
      <c r="V31" s="419"/>
      <c r="W31" s="419"/>
      <c r="X31" s="419"/>
      <c r="Y31" s="419"/>
      <c r="Z31" s="419"/>
      <c r="AA31" s="419"/>
      <c r="AB31" s="419"/>
      <c r="AC31" s="419"/>
      <c r="AD31" s="419"/>
      <c r="AE31" s="419"/>
      <c r="AF31" s="419"/>
      <c r="AG31" s="419"/>
      <c r="AH31" s="419"/>
      <c r="AI31" s="419"/>
      <c r="AJ31" s="419"/>
      <c r="AK31" s="45"/>
      <c r="AL31" s="419"/>
      <c r="AM31" s="723"/>
      <c r="AN31" s="419"/>
      <c r="AO31" s="76"/>
      <c r="AP31" s="53"/>
      <c r="AQ31" s="330"/>
      <c r="AR31" s="330"/>
      <c r="AS31" s="330"/>
      <c r="AT31" s="330"/>
      <c r="AU31" s="330"/>
      <c r="AV31" s="330"/>
      <c r="AW31" s="319"/>
      <c r="AX31" s="319"/>
      <c r="AY31" s="319"/>
      <c r="AZ31" s="319"/>
      <c r="BA31" s="319"/>
      <c r="BB31" s="319"/>
      <c r="BC31" s="324"/>
      <c r="BD31" s="45"/>
      <c r="BE31" s="418"/>
      <c r="BF31" s="418"/>
      <c r="BG31" s="418"/>
      <c r="BH31" s="418"/>
      <c r="BI31" s="45"/>
      <c r="BJ31" s="418"/>
      <c r="BK31" s="418"/>
      <c r="BL31" s="418"/>
      <c r="BM31" s="418"/>
      <c r="BN31" s="418"/>
      <c r="BO31" s="418"/>
      <c r="BP31" s="418"/>
      <c r="BQ31" s="418"/>
      <c r="BR31" s="414"/>
      <c r="BS31" s="418"/>
      <c r="BT31" s="418"/>
      <c r="BU31" s="418"/>
      <c r="BV31" s="418"/>
      <c r="BW31" s="418"/>
      <c r="BX31" s="45"/>
    </row>
    <row r="32" spans="1:76">
      <c r="A32" s="418">
        <f>'BANG LUONG 1'!A33</f>
        <v>28</v>
      </c>
      <c r="B32" s="418" t="str">
        <f>'BANG LUONG 1'!B17</f>
        <v>NV29</v>
      </c>
      <c r="C32" s="418" t="str">
        <f>'BANG LUONG 1'!C17</f>
        <v>Phan Văn Bạn</v>
      </c>
      <c r="D32" s="418" t="str">
        <f>'BANG LUONG 1'!D17</f>
        <v>Lái xe cơ giới</v>
      </c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  <c r="U32" s="47"/>
      <c r="V32" s="419"/>
      <c r="W32" s="419"/>
      <c r="X32" s="419"/>
      <c r="Y32" s="419"/>
      <c r="Z32" s="419"/>
      <c r="AA32" s="419"/>
      <c r="AB32" s="419"/>
      <c r="AC32" s="419"/>
      <c r="AD32" s="419"/>
      <c r="AE32" s="419"/>
      <c r="AF32" s="419"/>
      <c r="AG32" s="419"/>
      <c r="AH32" s="419"/>
      <c r="AI32" s="419"/>
      <c r="AJ32" s="419"/>
      <c r="AK32" s="45"/>
      <c r="AL32" s="419"/>
      <c r="AM32" s="723"/>
      <c r="AN32" s="419"/>
      <c r="AO32" s="76"/>
      <c r="AP32" s="53"/>
      <c r="AQ32" s="416"/>
      <c r="AR32" s="416"/>
      <c r="AS32" s="417"/>
      <c r="AT32" s="416"/>
      <c r="AU32" s="417"/>
      <c r="AV32" s="417"/>
      <c r="AW32" s="319"/>
      <c r="AX32" s="879"/>
      <c r="AY32" s="319"/>
      <c r="AZ32" s="319"/>
      <c r="BA32" s="319"/>
      <c r="BB32" s="319"/>
      <c r="BC32" s="324"/>
      <c r="BD32" s="45"/>
      <c r="BE32" s="418"/>
      <c r="BF32" s="418"/>
      <c r="BG32" s="418"/>
      <c r="BH32" s="418"/>
      <c r="BI32" s="45"/>
      <c r="BJ32" s="418"/>
      <c r="BK32" s="418"/>
      <c r="BL32" s="418"/>
      <c r="BN32" s="418"/>
      <c r="BO32" s="418"/>
      <c r="BP32" s="418"/>
      <c r="BQ32" s="418"/>
      <c r="BR32" s="414"/>
      <c r="BS32" s="418"/>
      <c r="BT32" s="418"/>
      <c r="BU32" s="418"/>
      <c r="BV32" s="413"/>
      <c r="BW32" s="418"/>
      <c r="BX32" s="45"/>
    </row>
    <row r="33" spans="1:76">
      <c r="A33" s="418">
        <f>'BANG LUONG 1'!A17</f>
        <v>29</v>
      </c>
      <c r="B33" s="418" t="str">
        <f>'BANG LUONG 1'!B34</f>
        <v>NV30</v>
      </c>
      <c r="C33" s="418" t="str">
        <f>'BANG LUONG 1'!C34</f>
        <v>Lê Minh Trọng</v>
      </c>
      <c r="D33" s="418" t="str">
        <f>'BANG LUONG 1'!D34</f>
        <v>Lái xe cơ giới</v>
      </c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  <c r="U33" s="47"/>
      <c r="V33" s="419"/>
      <c r="W33" s="419"/>
      <c r="X33" s="419"/>
      <c r="Y33" s="419"/>
      <c r="Z33" s="419"/>
      <c r="AA33" s="419"/>
      <c r="AB33" s="419"/>
      <c r="AC33" s="419"/>
      <c r="AD33" s="419"/>
      <c r="AE33" s="419"/>
      <c r="AF33" s="419"/>
      <c r="AG33" s="419"/>
      <c r="AH33" s="419"/>
      <c r="AI33" s="419"/>
      <c r="AJ33" s="419"/>
      <c r="AK33" s="45"/>
      <c r="AL33" s="419"/>
      <c r="AM33" s="723"/>
      <c r="AN33" s="419"/>
      <c r="AO33" s="76"/>
      <c r="AP33" s="53"/>
      <c r="AQ33" s="416"/>
      <c r="AR33" s="416"/>
      <c r="AS33" s="417"/>
      <c r="AT33" s="416"/>
      <c r="AU33" s="417"/>
      <c r="AV33" s="417"/>
      <c r="AW33" s="319"/>
      <c r="AX33" s="319"/>
      <c r="AY33" s="319"/>
      <c r="AZ33" s="319"/>
      <c r="BA33" s="319"/>
      <c r="BB33" s="319"/>
      <c r="BC33" s="324"/>
      <c r="BD33" s="45"/>
      <c r="BE33" s="418"/>
      <c r="BF33" s="418"/>
      <c r="BG33" s="418"/>
      <c r="BH33" s="418"/>
      <c r="BI33" s="45"/>
      <c r="BJ33" s="418"/>
      <c r="BK33" s="414"/>
      <c r="BL33" s="418"/>
      <c r="BM33" s="418"/>
      <c r="BN33" s="418"/>
      <c r="BO33" s="418"/>
      <c r="BP33" s="418"/>
      <c r="BQ33" s="418"/>
      <c r="BR33" s="414"/>
      <c r="BS33" s="418"/>
      <c r="BT33" s="418"/>
      <c r="BU33" s="418"/>
      <c r="BV33" s="413"/>
      <c r="BW33" s="418"/>
      <c r="BX33" s="45"/>
    </row>
    <row r="34" spans="1:76">
      <c r="A34" s="418">
        <f>'BANG LUONG 1'!A34</f>
        <v>30</v>
      </c>
      <c r="B34" s="418" t="str">
        <f>'BANG LUONG 1'!B35</f>
        <v>NV31</v>
      </c>
      <c r="C34" s="418" t="str">
        <f>'BANG LUONG 1'!C35</f>
        <v>Nguyễn Văn Lâm</v>
      </c>
      <c r="D34" s="418" t="str">
        <f>'BANG LUONG 1'!D35</f>
        <v>Lái xe cơ giới</v>
      </c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  <c r="U34" s="47"/>
      <c r="V34" s="419"/>
      <c r="W34" s="419"/>
      <c r="X34" s="419"/>
      <c r="Y34" s="419"/>
      <c r="Z34" s="419"/>
      <c r="AA34" s="419"/>
      <c r="AB34" s="419"/>
      <c r="AC34" s="419"/>
      <c r="AD34" s="419"/>
      <c r="AE34" s="419"/>
      <c r="AF34" s="419"/>
      <c r="AG34" s="419"/>
      <c r="AH34" s="419"/>
      <c r="AI34" s="419"/>
      <c r="AJ34" s="419"/>
      <c r="AK34" s="45"/>
      <c r="AL34" s="419"/>
      <c r="AM34" s="723"/>
      <c r="AN34" s="419"/>
      <c r="AO34" s="76"/>
      <c r="AP34" s="53"/>
      <c r="AQ34" s="416"/>
      <c r="AR34" s="416"/>
      <c r="AS34" s="417"/>
      <c r="AT34" s="416"/>
      <c r="AU34" s="417"/>
      <c r="AV34" s="417"/>
      <c r="AW34" s="319"/>
      <c r="AX34" s="319"/>
      <c r="AY34" s="319"/>
      <c r="AZ34" s="319"/>
      <c r="BA34" s="319"/>
      <c r="BB34" s="319"/>
      <c r="BC34" s="324"/>
      <c r="BD34" s="45"/>
      <c r="BE34" s="418"/>
      <c r="BF34" s="418"/>
      <c r="BG34" s="418"/>
      <c r="BH34" s="418"/>
      <c r="BI34" s="45"/>
      <c r="BJ34" s="418"/>
      <c r="BK34" s="413"/>
      <c r="BL34" s="418"/>
      <c r="BM34" s="418"/>
      <c r="BN34" s="418"/>
      <c r="BO34" s="418"/>
      <c r="BP34" s="418"/>
      <c r="BQ34" s="418"/>
      <c r="BR34" s="414"/>
      <c r="BS34" s="418"/>
      <c r="BT34" s="418"/>
      <c r="BU34" s="418"/>
      <c r="BV34" s="413"/>
      <c r="BW34" s="418"/>
      <c r="BX34" s="45"/>
    </row>
    <row r="35" spans="1:76" ht="22.8">
      <c r="A35" s="418">
        <f>'BANG LUONG 1'!A35</f>
        <v>31</v>
      </c>
      <c r="B35" s="418" t="str">
        <f>'BANG LUONG 1'!B36</f>
        <v>NV32</v>
      </c>
      <c r="C35" s="418" t="str">
        <f>'BANG LUONG 1'!C36</f>
        <v>Lương Minh Tâm</v>
      </c>
      <c r="D35" s="418" t="str">
        <f>'BANG LUONG 1'!D36</f>
        <v>Vận hành xe xúc BH</v>
      </c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  <c r="U35" s="47"/>
      <c r="V35" s="419"/>
      <c r="W35" s="419"/>
      <c r="X35" s="419"/>
      <c r="Y35" s="419"/>
      <c r="Z35" s="419"/>
      <c r="AA35" s="419"/>
      <c r="AB35" s="419"/>
      <c r="AC35" s="419"/>
      <c r="AD35" s="419"/>
      <c r="AE35" s="419"/>
      <c r="AF35" s="419"/>
      <c r="AG35" s="419"/>
      <c r="AH35" s="419"/>
      <c r="AI35" s="419"/>
      <c r="AJ35" s="419"/>
      <c r="AK35" s="45"/>
      <c r="AL35" s="419"/>
      <c r="AM35" s="419"/>
      <c r="AN35" s="419"/>
      <c r="AO35" s="76"/>
      <c r="AP35" s="53"/>
      <c r="AQ35" s="330"/>
      <c r="AR35" s="330"/>
      <c r="AS35" s="330"/>
      <c r="AT35" s="330"/>
      <c r="AU35" s="330"/>
      <c r="AV35" s="330"/>
      <c r="AW35" s="319"/>
      <c r="AX35" s="319"/>
      <c r="AY35" s="319"/>
      <c r="AZ35" s="319"/>
      <c r="BA35" s="319"/>
      <c r="BB35" s="319"/>
      <c r="BC35" s="324"/>
      <c r="BD35" s="45"/>
      <c r="BE35" s="418"/>
      <c r="BF35" s="418"/>
      <c r="BG35" s="418"/>
      <c r="BH35" s="418"/>
      <c r="BI35" s="45"/>
      <c r="BJ35" s="418"/>
      <c r="BK35" s="418"/>
      <c r="BL35" s="418"/>
      <c r="BM35" s="418"/>
      <c r="BN35" s="418"/>
      <c r="BO35" s="418"/>
      <c r="BP35" s="418"/>
      <c r="BQ35" s="418"/>
      <c r="BR35" s="414"/>
      <c r="BS35" s="418"/>
      <c r="BT35" s="418"/>
      <c r="BU35" s="418"/>
      <c r="BV35" s="418"/>
      <c r="BW35" s="418"/>
      <c r="BX35" s="45"/>
    </row>
    <row r="36" spans="1:76">
      <c r="A36" s="418">
        <f>'BANG LUONG 1'!A36</f>
        <v>32</v>
      </c>
      <c r="B36" s="418" t="str">
        <f>'BANG LUONG 1'!B37</f>
        <v>NV33</v>
      </c>
      <c r="C36" s="418" t="str">
        <f>'BANG LUONG 1'!C37</f>
        <v>Nguyễn Thành Tài</v>
      </c>
      <c r="D36" s="418" t="str">
        <f>'BANG LUONG 1'!D37</f>
        <v>Lái xe nâng</v>
      </c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  <c r="U36" s="47"/>
      <c r="V36" s="419"/>
      <c r="W36" s="419"/>
      <c r="X36" s="419"/>
      <c r="Y36" s="419"/>
      <c r="Z36" s="419"/>
      <c r="AA36" s="419"/>
      <c r="AB36" s="419"/>
      <c r="AC36" s="419"/>
      <c r="AD36" s="419"/>
      <c r="AE36" s="419"/>
      <c r="AF36" s="419"/>
      <c r="AG36" s="419"/>
      <c r="AH36" s="419"/>
      <c r="AI36" s="419"/>
      <c r="AJ36" s="419"/>
      <c r="AK36" s="45"/>
      <c r="AL36" s="419"/>
      <c r="AM36" s="419"/>
      <c r="AN36" s="419"/>
      <c r="AO36" s="76"/>
      <c r="AP36" s="53"/>
      <c r="AQ36" s="330"/>
      <c r="AR36" s="330"/>
      <c r="AS36" s="330"/>
      <c r="AT36" s="330"/>
      <c r="AU36" s="330"/>
      <c r="AV36" s="330"/>
      <c r="AW36" s="319"/>
      <c r="AX36" s="319"/>
      <c r="AY36" s="319"/>
      <c r="AZ36" s="319"/>
      <c r="BA36" s="319"/>
      <c r="BB36" s="319"/>
      <c r="BC36" s="324"/>
      <c r="BD36" s="45"/>
      <c r="BE36" s="418"/>
      <c r="BF36" s="418"/>
      <c r="BG36" s="418"/>
      <c r="BH36" s="418"/>
      <c r="BI36" s="45"/>
      <c r="BJ36" s="418"/>
      <c r="BK36" s="418"/>
      <c r="BL36" s="418"/>
      <c r="BM36" s="418"/>
      <c r="BN36" s="418"/>
      <c r="BO36" s="418"/>
      <c r="BP36" s="418"/>
      <c r="BQ36" s="418"/>
      <c r="BR36" s="414"/>
      <c r="BS36" s="418"/>
      <c r="BT36" s="418"/>
      <c r="BU36" s="418"/>
      <c r="BV36" s="418"/>
      <c r="BW36" s="418"/>
      <c r="BX36" s="45"/>
    </row>
    <row r="37" spans="1:76">
      <c r="A37" s="418">
        <f>'BANG LUONG 1'!A37</f>
        <v>33</v>
      </c>
      <c r="B37" s="418" t="str">
        <f>'BANG LUONG 1'!B39</f>
        <v>NV34</v>
      </c>
      <c r="C37" s="418" t="str">
        <f>'BANG LUONG 1'!C39</f>
        <v>Nguyễn Văn Mèo</v>
      </c>
      <c r="D37" s="418" t="str">
        <f>'BANG LUONG 1'!D39</f>
        <v>Công nhân</v>
      </c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  <c r="U37" s="47"/>
      <c r="V37" s="419"/>
      <c r="W37" s="419"/>
      <c r="X37" s="419"/>
      <c r="Y37" s="419"/>
      <c r="Z37" s="419"/>
      <c r="AA37" s="419"/>
      <c r="AB37" s="419"/>
      <c r="AC37" s="419"/>
      <c r="AD37" s="419"/>
      <c r="AE37" s="419"/>
      <c r="AF37" s="419"/>
      <c r="AG37" s="419"/>
      <c r="AH37" s="419"/>
      <c r="AI37" s="419"/>
      <c r="AJ37" s="419"/>
      <c r="AK37" s="45"/>
      <c r="AL37" s="419"/>
      <c r="AM37" s="419"/>
      <c r="AN37" s="419"/>
      <c r="AO37" s="76"/>
      <c r="AP37" s="53"/>
      <c r="AQ37" s="330"/>
      <c r="AR37" s="330"/>
      <c r="AS37" s="330"/>
      <c r="AT37" s="330"/>
      <c r="AU37" s="330"/>
      <c r="AV37" s="330"/>
      <c r="AW37" s="319"/>
      <c r="AX37" s="319"/>
      <c r="AY37" s="319"/>
      <c r="AZ37" s="319"/>
      <c r="BA37" s="319"/>
      <c r="BB37" s="319"/>
      <c r="BC37" s="324"/>
      <c r="BD37" s="45"/>
      <c r="BE37" s="418"/>
      <c r="BF37" s="418"/>
      <c r="BG37" s="418"/>
      <c r="BH37" s="418"/>
      <c r="BI37" s="45"/>
      <c r="BJ37" s="418"/>
      <c r="BK37" s="418"/>
      <c r="BL37" s="418"/>
      <c r="BM37" s="418"/>
      <c r="BN37" s="418"/>
      <c r="BO37" s="418"/>
      <c r="BP37" s="418"/>
      <c r="BQ37" s="418"/>
      <c r="BR37" s="414"/>
      <c r="BS37" s="418"/>
      <c r="BT37" s="418"/>
      <c r="BU37" s="418"/>
      <c r="BV37" s="418"/>
      <c r="BW37" s="418"/>
      <c r="BX37" s="45"/>
    </row>
    <row r="38" spans="1:76">
      <c r="A38" s="418">
        <f>'BANG LUONG 1'!A39</f>
        <v>34</v>
      </c>
      <c r="B38" s="418" t="str">
        <f>'BANG LUONG 1'!B40</f>
        <v>NV35</v>
      </c>
      <c r="C38" s="418" t="str">
        <f>'BANG LUONG 1'!C40</f>
        <v>Nguyễn Văn Phụng</v>
      </c>
      <c r="D38" s="418" t="str">
        <f>'BANG LUONG 1'!D40</f>
        <v xml:space="preserve">Công nhân </v>
      </c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419"/>
      <c r="Q38" s="419"/>
      <c r="R38" s="419"/>
      <c r="S38" s="419"/>
      <c r="T38" s="419"/>
      <c r="U38" s="47"/>
      <c r="V38" s="419"/>
      <c r="W38" s="419"/>
      <c r="X38" s="419"/>
      <c r="Y38" s="419"/>
      <c r="Z38" s="419"/>
      <c r="AA38" s="419"/>
      <c r="AB38" s="419"/>
      <c r="AC38" s="419"/>
      <c r="AD38" s="419"/>
      <c r="AE38" s="419"/>
      <c r="AF38" s="419"/>
      <c r="AG38" s="419"/>
      <c r="AH38" s="419"/>
      <c r="AI38" s="419"/>
      <c r="AJ38" s="419"/>
      <c r="AK38" s="45"/>
      <c r="AL38" s="419"/>
      <c r="AM38" s="419"/>
      <c r="AN38" s="419"/>
      <c r="AO38" s="76"/>
      <c r="AP38" s="53"/>
      <c r="AQ38" s="330"/>
      <c r="AR38" s="330"/>
      <c r="AS38" s="330"/>
      <c r="AT38" s="330"/>
      <c r="AU38" s="330"/>
      <c r="AV38" s="330"/>
      <c r="AW38" s="319"/>
      <c r="AX38" s="319"/>
      <c r="AY38" s="319"/>
      <c r="AZ38" s="319"/>
      <c r="BA38" s="319"/>
      <c r="BB38" s="319"/>
      <c r="BC38" s="324"/>
      <c r="BD38" s="45"/>
      <c r="BE38" s="418"/>
      <c r="BF38" s="418"/>
      <c r="BG38" s="418"/>
      <c r="BH38" s="418"/>
      <c r="BI38" s="45"/>
      <c r="BJ38" s="418"/>
      <c r="BK38" s="418"/>
      <c r="BL38" s="418"/>
      <c r="BM38" s="418"/>
      <c r="BN38" s="418"/>
      <c r="BO38" s="418"/>
      <c r="BP38" s="418"/>
      <c r="BQ38" s="418"/>
      <c r="BR38" s="414"/>
      <c r="BS38" s="418"/>
      <c r="BT38" s="418"/>
      <c r="BU38" s="418"/>
      <c r="BV38" s="418"/>
      <c r="BW38" s="418"/>
      <c r="BX38" s="45"/>
    </row>
    <row r="39" spans="1:76">
      <c r="A39" s="418" t="e">
        <f>'BANG LUONG 1'!#REF!</f>
        <v>#REF!</v>
      </c>
      <c r="B39" s="418" t="str">
        <f>'BANG LUONG 1'!B41</f>
        <v>NV37</v>
      </c>
      <c r="C39" s="418" t="str">
        <f>'BANG LUONG 1'!C41</f>
        <v>Nguyễn Tấn Kiệt</v>
      </c>
      <c r="D39" s="418" t="str">
        <f>'BANG LUONG 1'!D41</f>
        <v xml:space="preserve">Công nhân </v>
      </c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419"/>
      <c r="Q39" s="419"/>
      <c r="R39" s="419"/>
      <c r="S39" s="419"/>
      <c r="T39" s="419"/>
      <c r="U39" s="47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9"/>
      <c r="AG39" s="419"/>
      <c r="AH39" s="419"/>
      <c r="AI39" s="419"/>
      <c r="AJ39" s="419"/>
      <c r="AK39" s="45"/>
      <c r="AL39" s="419"/>
      <c r="AM39" s="419"/>
      <c r="AN39" s="419"/>
      <c r="AO39" s="76"/>
      <c r="AP39" s="53"/>
      <c r="AQ39" s="330"/>
      <c r="AR39" s="330"/>
      <c r="AS39" s="330"/>
      <c r="AT39" s="330"/>
      <c r="AU39" s="330"/>
      <c r="AV39" s="330"/>
      <c r="AW39" s="319"/>
      <c r="AX39" s="319"/>
      <c r="AY39" s="319"/>
      <c r="AZ39" s="319"/>
      <c r="BA39" s="319"/>
      <c r="BB39" s="319"/>
      <c r="BC39" s="324"/>
      <c r="BD39" s="45"/>
      <c r="BE39" s="418"/>
      <c r="BF39" s="418"/>
      <c r="BG39" s="418"/>
      <c r="BH39" s="418"/>
      <c r="BI39" s="45"/>
      <c r="BJ39" s="418"/>
      <c r="BK39" s="418"/>
      <c r="BL39" s="418"/>
      <c r="BM39" s="418"/>
      <c r="BN39" s="418"/>
      <c r="BO39" s="418"/>
      <c r="BP39" s="418"/>
      <c r="BQ39" s="418"/>
      <c r="BR39" s="414"/>
      <c r="BS39" s="418"/>
      <c r="BT39" s="418"/>
      <c r="BU39" s="418"/>
      <c r="BV39" s="418"/>
      <c r="BW39" s="418"/>
      <c r="BX39" s="45"/>
    </row>
    <row r="40" spans="1:76">
      <c r="A40" s="418">
        <f>'BANG LUONG 1'!A16</f>
        <v>38</v>
      </c>
      <c r="B40" s="418" t="str">
        <f>'BANG LUONG 1'!B42</f>
        <v>NV39</v>
      </c>
      <c r="C40" s="418" t="str">
        <f>'BANG LUONG 1'!C42</f>
        <v>Lê Ngọc Đức</v>
      </c>
      <c r="D40" s="418" t="str">
        <f>'BANG LUONG 1'!D42</f>
        <v xml:space="preserve">Công nhân </v>
      </c>
      <c r="E40" s="419"/>
      <c r="F40" s="419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  <c r="U40" s="47"/>
      <c r="V40" s="419"/>
      <c r="W40" s="419"/>
      <c r="X40" s="41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419"/>
      <c r="AJ40" s="419"/>
      <c r="AK40" s="45"/>
      <c r="AL40" s="419"/>
      <c r="AM40" s="419"/>
      <c r="AN40" s="419"/>
      <c r="AO40" s="76"/>
      <c r="AP40" s="53"/>
      <c r="AQ40" s="330"/>
      <c r="AR40" s="330"/>
      <c r="AS40" s="330"/>
      <c r="AT40" s="330"/>
      <c r="AU40" s="330"/>
      <c r="AV40" s="330"/>
      <c r="AW40" s="319"/>
      <c r="AX40" s="319"/>
      <c r="AY40" s="319"/>
      <c r="AZ40" s="319"/>
      <c r="BA40" s="319"/>
      <c r="BB40" s="319"/>
      <c r="BC40" s="324"/>
      <c r="BD40" s="45"/>
      <c r="BE40" s="418"/>
      <c r="BF40" s="418"/>
      <c r="BG40" s="418"/>
      <c r="BH40" s="418"/>
      <c r="BI40" s="45"/>
      <c r="BJ40" s="418"/>
      <c r="BK40" s="418"/>
      <c r="BL40" s="418"/>
      <c r="BM40" s="418"/>
      <c r="BN40" s="418"/>
      <c r="BO40" s="418"/>
      <c r="BP40" s="418"/>
      <c r="BQ40" s="418"/>
      <c r="BR40" s="414"/>
      <c r="BS40" s="418"/>
      <c r="BT40" s="418"/>
      <c r="BU40" s="418"/>
      <c r="BV40" s="418"/>
      <c r="BW40" s="418"/>
      <c r="BX40" s="45"/>
    </row>
    <row r="41" spans="1:76">
      <c r="A41" s="418">
        <f>'BANG LUONG 1'!A42</f>
        <v>39</v>
      </c>
      <c r="B41" s="418" t="str">
        <f>'BANG LUONG 1'!B43</f>
        <v>NV41</v>
      </c>
      <c r="C41" s="418" t="str">
        <f>'BANG LUONG 1'!C43</f>
        <v>Bùi Văn Ây</v>
      </c>
      <c r="D41" s="418" t="str">
        <f>'BANG LUONG 1'!D43</f>
        <v xml:space="preserve">Công nhân </v>
      </c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7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5"/>
      <c r="AL41" s="419"/>
      <c r="AM41" s="419"/>
      <c r="AN41" s="419"/>
      <c r="AO41" s="76"/>
      <c r="AP41" s="53"/>
      <c r="AQ41" s="330"/>
      <c r="AR41" s="330"/>
      <c r="AS41" s="330"/>
      <c r="AT41" s="330"/>
      <c r="AU41" s="330"/>
      <c r="AV41" s="330"/>
      <c r="AW41" s="319"/>
      <c r="AX41" s="319"/>
      <c r="AY41" s="319"/>
      <c r="AZ41" s="319"/>
      <c r="BA41" s="319"/>
      <c r="BB41" s="319"/>
      <c r="BC41" s="324"/>
      <c r="BD41" s="45"/>
      <c r="BE41" s="418"/>
      <c r="BF41" s="418"/>
      <c r="BG41" s="418"/>
      <c r="BH41" s="418"/>
      <c r="BI41" s="45"/>
      <c r="BJ41" s="418"/>
      <c r="BK41" s="418"/>
      <c r="BL41" s="418"/>
      <c r="BM41" s="418"/>
      <c r="BN41" s="418"/>
      <c r="BO41" s="418"/>
      <c r="BP41" s="418"/>
      <c r="BQ41" s="418"/>
      <c r="BR41" s="414"/>
      <c r="BS41" s="418"/>
      <c r="BT41" s="418"/>
      <c r="BU41" s="418"/>
      <c r="BV41" s="418"/>
      <c r="BW41" s="418"/>
      <c r="BX41" s="45"/>
    </row>
    <row r="42" spans="1:76">
      <c r="A42" s="418">
        <f>'BANG LUONG 1'!A43</f>
        <v>41</v>
      </c>
      <c r="B42" s="418" t="str">
        <f>'BANG LUONG 1'!B44</f>
        <v>NV45</v>
      </c>
      <c r="C42" s="418" t="str">
        <f>'BANG LUONG 1'!C44</f>
        <v>Đặng Hải Bằng</v>
      </c>
      <c r="D42" s="418" t="str">
        <f>'BANG LUONG 1'!D44</f>
        <v xml:space="preserve">Công nhân </v>
      </c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7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5"/>
      <c r="AL42" s="419"/>
      <c r="AM42" s="419"/>
      <c r="AN42" s="419"/>
      <c r="AO42" s="76"/>
      <c r="AP42" s="53"/>
      <c r="AQ42" s="330"/>
      <c r="AR42" s="330"/>
      <c r="AS42" s="330"/>
      <c r="AT42" s="330"/>
      <c r="AU42" s="330"/>
      <c r="AV42" s="330"/>
      <c r="AW42" s="319"/>
      <c r="AX42" s="319"/>
      <c r="AY42" s="319"/>
      <c r="AZ42" s="319"/>
      <c r="BA42" s="319"/>
      <c r="BB42" s="319"/>
      <c r="BC42" s="324"/>
      <c r="BD42" s="45"/>
      <c r="BE42" s="418"/>
      <c r="BF42" s="418"/>
      <c r="BG42" s="418"/>
      <c r="BH42" s="418"/>
      <c r="BI42" s="45"/>
      <c r="BJ42" s="418"/>
      <c r="BK42" s="418"/>
      <c r="BL42" s="418"/>
      <c r="BM42" s="418"/>
      <c r="BN42" s="418"/>
      <c r="BO42" s="418"/>
      <c r="BP42" s="418"/>
      <c r="BQ42" s="418"/>
      <c r="BR42" s="414"/>
      <c r="BS42" s="418"/>
      <c r="BT42" s="418"/>
      <c r="BU42" s="418"/>
      <c r="BV42" s="418"/>
      <c r="BW42" s="418"/>
      <c r="BX42" s="45"/>
    </row>
    <row r="43" spans="1:76">
      <c r="A43" s="418">
        <f>'BANG LUONG 1'!A44</f>
        <v>45</v>
      </c>
      <c r="B43" s="418" t="str">
        <f>'BANG LUONG 1'!B45</f>
        <v>NV49</v>
      </c>
      <c r="C43" s="418" t="str">
        <f>'BANG LUONG 1'!C45</f>
        <v>Nguyễn Đình Tâm</v>
      </c>
      <c r="D43" s="418" t="str">
        <f>'BANG LUONG 1'!D45</f>
        <v xml:space="preserve">Công nhân </v>
      </c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7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5"/>
      <c r="AL43" s="419"/>
      <c r="AM43" s="419"/>
      <c r="AN43" s="419"/>
      <c r="AO43" s="76"/>
      <c r="AP43" s="53"/>
      <c r="AQ43" s="330"/>
      <c r="AR43" s="330"/>
      <c r="AS43" s="330"/>
      <c r="AT43" s="330"/>
      <c r="AU43" s="330"/>
      <c r="AV43" s="330"/>
      <c r="AW43" s="319"/>
      <c r="AX43" s="319"/>
      <c r="AY43" s="319"/>
      <c r="AZ43" s="319"/>
      <c r="BA43" s="319"/>
      <c r="BB43" s="319"/>
      <c r="BC43" s="324"/>
      <c r="BD43" s="45"/>
      <c r="BE43" s="418"/>
      <c r="BF43" s="418"/>
      <c r="BG43" s="418"/>
      <c r="BH43" s="418"/>
      <c r="BI43" s="45"/>
      <c r="BJ43" s="418"/>
      <c r="BK43" s="418"/>
      <c r="BL43" s="418"/>
      <c r="BM43" s="418"/>
      <c r="BN43" s="418"/>
      <c r="BO43" s="418"/>
      <c r="BP43" s="418"/>
      <c r="BQ43" s="418"/>
      <c r="BR43" s="414"/>
      <c r="BS43" s="418"/>
      <c r="BT43" s="418"/>
      <c r="BU43" s="418"/>
      <c r="BV43" s="418"/>
      <c r="BW43" s="418"/>
      <c r="BX43" s="45"/>
    </row>
    <row r="44" spans="1:76">
      <c r="A44" s="418"/>
      <c r="B44" s="418" t="str">
        <f>'BANG LUONG 1'!B46</f>
        <v>NV51</v>
      </c>
      <c r="C44" s="418" t="str">
        <f>'BANG LUONG 1'!C46</f>
        <v>Nguyễn Văn Chương</v>
      </c>
      <c r="D44" s="418" t="str">
        <f>'BANG LUONG 1'!D46</f>
        <v xml:space="preserve">Công nhân </v>
      </c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7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5"/>
      <c r="AL44" s="419"/>
      <c r="AM44" s="419"/>
      <c r="AN44" s="419"/>
      <c r="AO44" s="76"/>
      <c r="AP44" s="53"/>
      <c r="AQ44" s="330"/>
      <c r="AR44" s="330"/>
      <c r="AS44" s="330"/>
      <c r="AT44" s="330"/>
      <c r="AU44" s="330"/>
      <c r="AV44" s="330"/>
      <c r="AW44" s="319"/>
      <c r="AX44" s="319"/>
      <c r="AY44" s="319"/>
      <c r="AZ44" s="319"/>
      <c r="BA44" s="319"/>
      <c r="BB44" s="319"/>
      <c r="BC44" s="324"/>
      <c r="BD44" s="45"/>
      <c r="BE44" s="418"/>
      <c r="BF44" s="418"/>
      <c r="BG44" s="418"/>
      <c r="BH44" s="418"/>
      <c r="BI44" s="45"/>
      <c r="BJ44" s="418"/>
      <c r="BK44" s="418"/>
      <c r="BL44" s="418"/>
      <c r="BM44" s="418"/>
      <c r="BN44" s="418"/>
      <c r="BO44" s="418"/>
      <c r="BP44" s="418"/>
      <c r="BQ44" s="418"/>
      <c r="BR44" s="414"/>
      <c r="BS44" s="418"/>
      <c r="BT44" s="418"/>
      <c r="BU44" s="418"/>
      <c r="BV44" s="418"/>
      <c r="BW44" s="418"/>
      <c r="BX44" s="45"/>
    </row>
    <row r="45" spans="1:76">
      <c r="A45" s="418"/>
      <c r="B45" s="418" t="str">
        <f>'BANG LUONG 1'!B48</f>
        <v>NV42</v>
      </c>
      <c r="C45" s="418" t="str">
        <f>'BANG LUONG 1'!C48</f>
        <v>Ngô Đình Chung</v>
      </c>
      <c r="D45" s="418" t="str">
        <f>'BANG LUONG 1'!D48</f>
        <v>GS Vườn rau</v>
      </c>
      <c r="E45" s="419"/>
      <c r="F45" s="419"/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  <c r="U45" s="47"/>
      <c r="V45" s="419"/>
      <c r="W45" s="419"/>
      <c r="X45" s="419"/>
      <c r="Y45" s="419"/>
      <c r="Z45" s="419"/>
      <c r="AA45" s="419"/>
      <c r="AB45" s="419"/>
      <c r="AC45" s="419"/>
      <c r="AD45" s="419"/>
      <c r="AE45" s="419"/>
      <c r="AF45" s="419"/>
      <c r="AG45" s="419"/>
      <c r="AH45" s="419"/>
      <c r="AI45" s="419"/>
      <c r="AJ45" s="419"/>
      <c r="AK45" s="45"/>
      <c r="AL45" s="419"/>
      <c r="AM45" s="419"/>
      <c r="AN45" s="419"/>
      <c r="AO45" s="76"/>
      <c r="AP45" s="53"/>
      <c r="AQ45" s="330"/>
      <c r="AR45" s="330"/>
      <c r="AS45" s="330"/>
      <c r="AT45" s="330"/>
      <c r="AU45" s="330"/>
      <c r="AV45" s="330"/>
      <c r="AW45" s="319"/>
      <c r="AX45" s="319"/>
      <c r="AY45" s="319"/>
      <c r="AZ45" s="319"/>
      <c r="BA45" s="319"/>
      <c r="BB45" s="319"/>
      <c r="BC45" s="324"/>
      <c r="BD45" s="45"/>
      <c r="BE45" s="418"/>
      <c r="BF45" s="418"/>
      <c r="BG45" s="418"/>
      <c r="BH45" s="418"/>
      <c r="BI45" s="45"/>
      <c r="BJ45" s="418"/>
      <c r="BK45" s="418"/>
      <c r="BL45" s="418"/>
      <c r="BM45" s="418"/>
      <c r="BN45" s="418"/>
      <c r="BO45" s="418"/>
      <c r="BP45" s="418"/>
      <c r="BQ45" s="418"/>
      <c r="BR45" s="414"/>
      <c r="BS45" s="418"/>
      <c r="BT45" s="418"/>
      <c r="BU45" s="418"/>
      <c r="BV45" s="418"/>
      <c r="BW45" s="418"/>
      <c r="BX45" s="45"/>
    </row>
    <row r="46" spans="1:76">
      <c r="A46" s="418">
        <f>'BANG LUONG 1'!A48</f>
        <v>42</v>
      </c>
      <c r="B46" s="418" t="str">
        <f>'BANG LUONG 1'!B49</f>
        <v>NV43</v>
      </c>
      <c r="C46" s="418" t="str">
        <f>'BANG LUONG 1'!C49</f>
        <v>Triệu Minh Tuấn</v>
      </c>
      <c r="D46" s="418" t="str">
        <f>'BANG LUONG 1'!D49</f>
        <v xml:space="preserve">Công nhân </v>
      </c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7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5"/>
      <c r="AL46" s="419"/>
      <c r="AM46" s="419"/>
      <c r="AN46" s="419"/>
      <c r="AO46" s="76"/>
      <c r="AP46" s="53"/>
      <c r="AQ46" s="330"/>
      <c r="AR46" s="330"/>
      <c r="AS46" s="330"/>
      <c r="AT46" s="330"/>
      <c r="AU46" s="330"/>
      <c r="AV46" s="330"/>
      <c r="AW46" s="319"/>
      <c r="AX46" s="319"/>
      <c r="AY46" s="319"/>
      <c r="AZ46" s="319"/>
      <c r="BA46" s="319"/>
      <c r="BB46" s="319"/>
      <c r="BC46" s="324"/>
      <c r="BD46" s="45"/>
      <c r="BE46" s="418"/>
      <c r="BF46" s="418"/>
      <c r="BG46" s="418"/>
      <c r="BH46" s="418"/>
      <c r="BI46" s="45"/>
      <c r="BJ46" s="418"/>
      <c r="BK46" s="418"/>
      <c r="BL46" s="418"/>
      <c r="BM46" s="418"/>
      <c r="BN46" s="418"/>
      <c r="BO46" s="418"/>
      <c r="BP46" s="418"/>
      <c r="BQ46" s="418"/>
      <c r="BR46" s="414"/>
      <c r="BS46" s="418"/>
      <c r="BT46" s="418"/>
      <c r="BU46" s="418"/>
      <c r="BV46" s="418"/>
      <c r="BW46" s="418"/>
      <c r="BX46" s="45"/>
    </row>
    <row r="47" spans="1:76">
      <c r="A47" s="418">
        <f>'BANG LUONG 1'!A49</f>
        <v>43</v>
      </c>
      <c r="B47" s="418" t="str">
        <f>'BANG LUONG 1'!B50</f>
        <v>NV44</v>
      </c>
      <c r="C47" s="418" t="str">
        <f>'BANG LUONG 1'!C50</f>
        <v>Kim Em</v>
      </c>
      <c r="D47" s="418" t="str">
        <f>'BANG LUONG 1'!D50</f>
        <v xml:space="preserve">Công nhân </v>
      </c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  <c r="U47" s="47"/>
      <c r="V47" s="419"/>
      <c r="W47" s="419"/>
      <c r="X47" s="419"/>
      <c r="Y47" s="419"/>
      <c r="Z47" s="419"/>
      <c r="AA47" s="419"/>
      <c r="AB47" s="419"/>
      <c r="AC47" s="419"/>
      <c r="AD47" s="419"/>
      <c r="AE47" s="419"/>
      <c r="AF47" s="419"/>
      <c r="AG47" s="419"/>
      <c r="AH47" s="419"/>
      <c r="AI47" s="419"/>
      <c r="AJ47" s="419"/>
      <c r="AK47" s="45"/>
      <c r="AL47" s="419"/>
      <c r="AM47" s="419"/>
      <c r="AN47" s="419"/>
      <c r="AO47" s="76"/>
      <c r="AP47" s="53"/>
      <c r="AQ47" s="330"/>
      <c r="AR47" s="330"/>
      <c r="AS47" s="330"/>
      <c r="AT47" s="330"/>
      <c r="AU47" s="330"/>
      <c r="AV47" s="330"/>
      <c r="AW47" s="319"/>
      <c r="AX47" s="319"/>
      <c r="AY47" s="319"/>
      <c r="AZ47" s="319"/>
      <c r="BA47" s="319"/>
      <c r="BB47" s="319"/>
      <c r="BC47" s="324"/>
      <c r="BD47" s="45"/>
      <c r="BE47" s="418"/>
      <c r="BF47" s="418"/>
      <c r="BG47" s="418"/>
      <c r="BH47" s="418"/>
      <c r="BI47" s="45"/>
      <c r="BJ47" s="418"/>
      <c r="BK47" s="418"/>
      <c r="BL47" s="418"/>
      <c r="BM47" s="418"/>
      <c r="BN47" s="418"/>
      <c r="BO47" s="418"/>
      <c r="BP47" s="418"/>
      <c r="BQ47" s="418"/>
      <c r="BR47" s="414"/>
      <c r="BS47" s="418"/>
      <c r="BT47" s="418"/>
      <c r="BU47" s="418"/>
      <c r="BV47" s="418"/>
      <c r="BW47" s="418"/>
      <c r="BX47" s="45"/>
    </row>
    <row r="48" spans="1:76">
      <c r="A48" s="418">
        <f>'BANG LUONG 1'!A50</f>
        <v>44</v>
      </c>
      <c r="B48" s="418" t="str">
        <f>'BANG LUONG 1'!B51</f>
        <v>NV48</v>
      </c>
      <c r="C48" s="418" t="str">
        <f>'BANG LUONG 1'!C51</f>
        <v>Danh Ngòi</v>
      </c>
      <c r="D48" s="418" t="str">
        <f>'BANG LUONG 1'!D51</f>
        <v>Công nhân</v>
      </c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7"/>
      <c r="V48" s="419"/>
      <c r="W48" s="419"/>
      <c r="X48" s="419"/>
      <c r="Y48" s="419"/>
      <c r="Z48" s="419"/>
      <c r="AA48" s="419"/>
      <c r="AB48" s="419"/>
      <c r="AC48" s="419"/>
      <c r="AD48" s="419"/>
      <c r="AE48" s="419"/>
      <c r="AF48" s="419"/>
      <c r="AG48" s="419"/>
      <c r="AH48" s="419"/>
      <c r="AI48" s="419"/>
      <c r="AJ48" s="419"/>
      <c r="AK48" s="45"/>
      <c r="AL48" s="419"/>
      <c r="AM48" s="419"/>
      <c r="AN48" s="419"/>
      <c r="AO48" s="76"/>
      <c r="AP48" s="53"/>
      <c r="AQ48" s="330"/>
      <c r="AR48" s="330"/>
      <c r="AS48" s="330"/>
      <c r="AT48" s="330"/>
      <c r="AU48" s="330"/>
      <c r="AV48" s="330"/>
      <c r="AW48" s="319"/>
      <c r="AX48" s="319"/>
      <c r="AY48" s="319"/>
      <c r="AZ48" s="319"/>
      <c r="BA48" s="319"/>
      <c r="BB48" s="319"/>
      <c r="BC48" s="324"/>
      <c r="BD48" s="45"/>
      <c r="BE48" s="418"/>
      <c r="BF48" s="418"/>
      <c r="BG48" s="418"/>
      <c r="BH48" s="418"/>
      <c r="BI48" s="45"/>
      <c r="BJ48" s="418"/>
      <c r="BK48" s="418"/>
      <c r="BL48" s="418"/>
      <c r="BM48" s="418"/>
      <c r="BN48" s="418"/>
      <c r="BO48" s="418"/>
      <c r="BP48" s="418"/>
      <c r="BQ48" s="418"/>
      <c r="BR48" s="414"/>
      <c r="BS48" s="418"/>
      <c r="BT48" s="418"/>
      <c r="BU48" s="418"/>
      <c r="BV48" s="418"/>
      <c r="BW48" s="418"/>
      <c r="BX48" s="45"/>
    </row>
    <row r="49" spans="1:41">
      <c r="A49" s="418">
        <f>'BANG LUONG 1'!A51</f>
        <v>0</v>
      </c>
      <c r="B49" s="418" t="str">
        <f>'BANG LUONG 1'!B52</f>
        <v>NV50</v>
      </c>
      <c r="C49" s="418" t="str">
        <f>'BANG LUONG 1'!C52</f>
        <v>Phùng Nhật Nam</v>
      </c>
      <c r="D49" s="418" t="str">
        <f>'BANG LUONG 1'!D52</f>
        <v>Công nhân</v>
      </c>
    </row>
    <row r="50" spans="1:41">
      <c r="AL50" s="30">
        <f>SUM(AL6:AL49)</f>
        <v>0</v>
      </c>
      <c r="AM50" s="30">
        <f t="shared" ref="AM50:AO50" si="0">SUM(AM6:AM49)</f>
        <v>0</v>
      </c>
      <c r="AN50" s="30">
        <f t="shared" si="0"/>
        <v>0</v>
      </c>
      <c r="AO50" s="30">
        <f t="shared" si="0"/>
        <v>0</v>
      </c>
    </row>
  </sheetData>
  <mergeCells count="7">
    <mergeCell ref="AQ3:BC3"/>
    <mergeCell ref="BE3:BH3"/>
    <mergeCell ref="BJ3:BV3"/>
    <mergeCell ref="E5:S5"/>
    <mergeCell ref="E3:S3"/>
    <mergeCell ref="V3:AJ3"/>
    <mergeCell ref="AL3:AM3"/>
  </mergeCells>
  <pageMargins left="0.2" right="0.2" top="0.2" bottom="0.2" header="0.22" footer="0.2"/>
  <pageSetup paperSize="9" scale="32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M27"/>
  <sheetViews>
    <sheetView workbookViewId="0">
      <pane xSplit="3" ySplit="1" topLeftCell="D2" activePane="bottomRight" state="frozen"/>
      <selection activeCell="R40" sqref="R40"/>
      <selection pane="topRight" activeCell="R40" sqref="R40"/>
      <selection pane="bottomLeft" activeCell="R40" sqref="R40"/>
      <selection pane="bottomRight" activeCell="T11" sqref="T11"/>
    </sheetView>
  </sheetViews>
  <sheetFormatPr defaultRowHeight="14.4"/>
  <cols>
    <col min="1" max="1" width="4.44140625" customWidth="1"/>
    <col min="2" max="2" width="9.88671875" customWidth="1"/>
    <col min="3" max="3" width="14.44140625" customWidth="1"/>
    <col min="4" max="6" width="4.44140625" customWidth="1"/>
    <col min="7" max="7" width="5" bestFit="1" customWidth="1"/>
    <col min="8" max="18" width="4.44140625" customWidth="1"/>
    <col min="19" max="19" width="5.6640625" customWidth="1"/>
    <col min="20" max="20" width="5.88671875" customWidth="1"/>
    <col min="21" max="36" width="5.6640625" customWidth="1"/>
    <col min="37" max="37" width="3.6640625" customWidth="1"/>
    <col min="39" max="39" width="15.88671875" customWidth="1"/>
  </cols>
  <sheetData>
    <row r="1" spans="1:39" s="58" customFormat="1" ht="87" customHeight="1">
      <c r="A1" s="62" t="s">
        <v>309</v>
      </c>
      <c r="B1" s="62" t="s">
        <v>307</v>
      </c>
      <c r="C1" s="62" t="s">
        <v>308</v>
      </c>
      <c r="D1" s="59" t="s">
        <v>262</v>
      </c>
      <c r="E1" s="59" t="s">
        <v>263</v>
      </c>
      <c r="F1" s="59" t="s">
        <v>264</v>
      </c>
      <c r="G1" s="59" t="s">
        <v>265</v>
      </c>
      <c r="H1" s="59" t="s">
        <v>266</v>
      </c>
      <c r="I1" s="59" t="s">
        <v>267</v>
      </c>
      <c r="J1" s="59" t="s">
        <v>268</v>
      </c>
      <c r="K1" s="59" t="s">
        <v>296</v>
      </c>
      <c r="L1" s="59" t="s">
        <v>297</v>
      </c>
      <c r="M1" s="59" t="s">
        <v>298</v>
      </c>
      <c r="N1" s="59" t="s">
        <v>299</v>
      </c>
      <c r="O1" s="59" t="s">
        <v>269</v>
      </c>
      <c r="P1" s="59" t="s">
        <v>282</v>
      </c>
      <c r="Q1" s="59" t="s">
        <v>281</v>
      </c>
      <c r="R1" s="59" t="s">
        <v>280</v>
      </c>
      <c r="S1" s="59" t="s">
        <v>317</v>
      </c>
      <c r="T1" s="57" t="s">
        <v>306</v>
      </c>
      <c r="U1" s="59" t="s">
        <v>262</v>
      </c>
      <c r="V1" s="59" t="s">
        <v>263</v>
      </c>
      <c r="W1" s="59" t="s">
        <v>264</v>
      </c>
      <c r="X1" s="59" t="s">
        <v>265</v>
      </c>
      <c r="Y1" s="59" t="s">
        <v>266</v>
      </c>
      <c r="Z1" s="59" t="s">
        <v>267</v>
      </c>
      <c r="AA1" s="59" t="s">
        <v>268</v>
      </c>
      <c r="AB1" s="59" t="s">
        <v>296</v>
      </c>
      <c r="AC1" s="59" t="s">
        <v>297</v>
      </c>
      <c r="AD1" s="59" t="s">
        <v>298</v>
      </c>
      <c r="AE1" s="59" t="s">
        <v>299</v>
      </c>
      <c r="AF1" s="59" t="s">
        <v>269</v>
      </c>
      <c r="AG1" s="59" t="s">
        <v>282</v>
      </c>
      <c r="AH1" s="59" t="s">
        <v>281</v>
      </c>
      <c r="AI1" s="59" t="s">
        <v>280</v>
      </c>
      <c r="AJ1" s="59" t="s">
        <v>317</v>
      </c>
      <c r="AK1" s="60"/>
      <c r="AM1" s="73" t="s">
        <v>316</v>
      </c>
    </row>
    <row r="2" spans="1:39">
      <c r="A2" s="35">
        <v>1</v>
      </c>
      <c r="B2" s="35">
        <v>1</v>
      </c>
      <c r="C2" s="35" t="s">
        <v>304</v>
      </c>
      <c r="D2" s="3"/>
      <c r="E2" s="3"/>
      <c r="F2" s="3"/>
      <c r="G2" s="3">
        <v>30</v>
      </c>
      <c r="H2" s="3"/>
      <c r="I2" s="3">
        <v>220</v>
      </c>
      <c r="J2" s="3"/>
      <c r="K2" s="3"/>
      <c r="L2" s="3"/>
      <c r="M2" s="3"/>
      <c r="N2" s="3">
        <v>100</v>
      </c>
      <c r="O2" s="3"/>
      <c r="P2" s="418"/>
      <c r="Q2" s="418">
        <v>25</v>
      </c>
      <c r="R2" s="418"/>
      <c r="S2" s="418"/>
      <c r="T2" s="56">
        <v>6</v>
      </c>
      <c r="U2" s="22">
        <f>D2/$T2</f>
        <v>0</v>
      </c>
      <c r="V2" s="22">
        <f t="shared" ref="V2:AJ15" si="0">E2/$T2</f>
        <v>0</v>
      </c>
      <c r="W2" s="22">
        <f t="shared" si="0"/>
        <v>0</v>
      </c>
      <c r="X2" s="22">
        <f t="shared" si="0"/>
        <v>5</v>
      </c>
      <c r="Y2" s="22">
        <f t="shared" si="0"/>
        <v>0</v>
      </c>
      <c r="Z2" s="22">
        <f t="shared" si="0"/>
        <v>36.666666666666664</v>
      </c>
      <c r="AA2" s="22">
        <f t="shared" si="0"/>
        <v>0</v>
      </c>
      <c r="AB2" s="22">
        <f t="shared" si="0"/>
        <v>0</v>
      </c>
      <c r="AC2" s="22">
        <f t="shared" si="0"/>
        <v>0</v>
      </c>
      <c r="AD2" s="22">
        <f t="shared" si="0"/>
        <v>0</v>
      </c>
      <c r="AE2" s="22">
        <f t="shared" si="0"/>
        <v>16.666666666666668</v>
      </c>
      <c r="AF2" s="22">
        <f t="shared" si="0"/>
        <v>0</v>
      </c>
      <c r="AG2" s="22">
        <f t="shared" si="0"/>
        <v>0</v>
      </c>
      <c r="AH2" s="22">
        <f t="shared" si="0"/>
        <v>4.166666666666667</v>
      </c>
      <c r="AI2" s="22">
        <f t="shared" si="0"/>
        <v>0</v>
      </c>
      <c r="AJ2" s="22">
        <f t="shared" si="0"/>
        <v>0</v>
      </c>
      <c r="AK2" s="61"/>
      <c r="AM2" s="35" t="s">
        <v>304</v>
      </c>
    </row>
    <row r="3" spans="1:39">
      <c r="A3" s="35">
        <v>2</v>
      </c>
      <c r="B3" s="35">
        <v>2</v>
      </c>
      <c r="C3" s="421" t="s">
        <v>721</v>
      </c>
      <c r="D3" s="3"/>
      <c r="E3" s="3"/>
      <c r="F3" s="3"/>
      <c r="G3" s="3">
        <v>100</v>
      </c>
      <c r="H3" s="3"/>
      <c r="I3" s="418">
        <v>92</v>
      </c>
      <c r="J3" s="3"/>
      <c r="K3" s="3"/>
      <c r="L3" s="3"/>
      <c r="M3" s="3"/>
      <c r="N3" s="3"/>
      <c r="O3" s="418"/>
      <c r="P3" s="3"/>
      <c r="Q3" s="3"/>
      <c r="R3" s="3"/>
      <c r="S3" s="3">
        <v>50</v>
      </c>
      <c r="T3" s="56">
        <v>6</v>
      </c>
      <c r="U3" s="22">
        <f t="shared" ref="U3:U15" si="1">D3/$T3</f>
        <v>0</v>
      </c>
      <c r="V3" s="22">
        <f t="shared" si="0"/>
        <v>0</v>
      </c>
      <c r="W3" s="22">
        <f t="shared" si="0"/>
        <v>0</v>
      </c>
      <c r="X3" s="22">
        <f t="shared" si="0"/>
        <v>16.666666666666668</v>
      </c>
      <c r="Y3" s="22">
        <f t="shared" si="0"/>
        <v>0</v>
      </c>
      <c r="Z3" s="22">
        <f t="shared" ref="Z3:AA6" si="2">I3/$T3</f>
        <v>15.333333333333334</v>
      </c>
      <c r="AA3" s="22">
        <f t="shared" si="2"/>
        <v>0</v>
      </c>
      <c r="AB3" s="22">
        <f t="shared" si="0"/>
        <v>0</v>
      </c>
      <c r="AC3" s="22">
        <f t="shared" si="0"/>
        <v>0</v>
      </c>
      <c r="AD3" s="22">
        <f t="shared" si="0"/>
        <v>0</v>
      </c>
      <c r="AE3" s="22">
        <f t="shared" si="0"/>
        <v>0</v>
      </c>
      <c r="AF3" s="22">
        <f t="shared" si="0"/>
        <v>0</v>
      </c>
      <c r="AG3" s="22">
        <f t="shared" si="0"/>
        <v>0</v>
      </c>
      <c r="AH3" s="22">
        <f t="shared" si="0"/>
        <v>0</v>
      </c>
      <c r="AI3" s="22">
        <f t="shared" si="0"/>
        <v>0</v>
      </c>
      <c r="AJ3" s="22">
        <f t="shared" si="0"/>
        <v>8.3333333333333339</v>
      </c>
      <c r="AK3" s="61"/>
      <c r="AM3" s="35" t="s">
        <v>721</v>
      </c>
    </row>
    <row r="4" spans="1:39" s="64" customFormat="1">
      <c r="A4" s="63">
        <v>3</v>
      </c>
      <c r="B4" s="35">
        <v>3</v>
      </c>
      <c r="C4" s="35" t="s">
        <v>303</v>
      </c>
      <c r="D4" s="3">
        <v>160</v>
      </c>
      <c r="E4" s="3">
        <v>100</v>
      </c>
      <c r="F4" s="3">
        <v>200</v>
      </c>
      <c r="G4" s="3">
        <f>24+10+13</f>
        <v>47</v>
      </c>
      <c r="H4" s="3"/>
      <c r="I4" s="418">
        <f>57+13</f>
        <v>70</v>
      </c>
      <c r="J4" s="3"/>
      <c r="K4" s="3"/>
      <c r="L4" s="3">
        <v>165</v>
      </c>
      <c r="M4" s="3">
        <v>55</v>
      </c>
      <c r="N4" s="3"/>
      <c r="O4" s="418"/>
      <c r="P4" s="3"/>
      <c r="Q4" s="3">
        <v>5</v>
      </c>
      <c r="R4" s="3"/>
      <c r="S4" s="3"/>
      <c r="T4" s="56">
        <v>4</v>
      </c>
      <c r="U4" s="22">
        <f t="shared" si="1"/>
        <v>40</v>
      </c>
      <c r="V4" s="22">
        <f t="shared" si="0"/>
        <v>25</v>
      </c>
      <c r="W4" s="22">
        <f t="shared" si="0"/>
        <v>50</v>
      </c>
      <c r="X4" s="22">
        <f t="shared" si="0"/>
        <v>11.75</v>
      </c>
      <c r="Y4" s="22">
        <f t="shared" si="0"/>
        <v>0</v>
      </c>
      <c r="Z4" s="22">
        <f t="shared" si="2"/>
        <v>17.5</v>
      </c>
      <c r="AA4" s="22">
        <f t="shared" si="2"/>
        <v>0</v>
      </c>
      <c r="AB4" s="22">
        <f t="shared" si="0"/>
        <v>0</v>
      </c>
      <c r="AC4" s="22">
        <f t="shared" si="0"/>
        <v>41.25</v>
      </c>
      <c r="AD4" s="22">
        <f t="shared" si="0"/>
        <v>13.75</v>
      </c>
      <c r="AE4" s="22">
        <f t="shared" si="0"/>
        <v>0</v>
      </c>
      <c r="AF4" s="22">
        <f t="shared" si="0"/>
        <v>0</v>
      </c>
      <c r="AG4" s="22">
        <f t="shared" si="0"/>
        <v>0</v>
      </c>
      <c r="AH4" s="22">
        <f t="shared" si="0"/>
        <v>1.25</v>
      </c>
      <c r="AI4" s="22">
        <f t="shared" si="0"/>
        <v>0</v>
      </c>
      <c r="AJ4" s="22">
        <f t="shared" si="0"/>
        <v>0</v>
      </c>
      <c r="AK4" s="61"/>
      <c r="AM4" s="63" t="s">
        <v>303</v>
      </c>
    </row>
    <row r="5" spans="1:39">
      <c r="A5" s="35">
        <v>4</v>
      </c>
      <c r="B5" s="35">
        <v>4</v>
      </c>
      <c r="C5" s="35" t="s">
        <v>721</v>
      </c>
      <c r="D5" s="3"/>
      <c r="E5" s="3"/>
      <c r="F5" s="3"/>
      <c r="G5" s="3"/>
      <c r="H5" s="3"/>
      <c r="I5" s="418">
        <v>100</v>
      </c>
      <c r="J5" s="418"/>
      <c r="K5" s="418"/>
      <c r="L5" s="418"/>
      <c r="M5" s="418"/>
      <c r="N5" s="418"/>
      <c r="O5" s="418"/>
      <c r="P5" s="418"/>
      <c r="Q5" s="418"/>
      <c r="R5" s="418"/>
      <c r="S5" s="418"/>
      <c r="T5" s="56">
        <v>6</v>
      </c>
      <c r="U5" s="22">
        <f t="shared" si="1"/>
        <v>0</v>
      </c>
      <c r="V5" s="22">
        <f t="shared" si="0"/>
        <v>0</v>
      </c>
      <c r="W5" s="22">
        <f t="shared" si="0"/>
        <v>0</v>
      </c>
      <c r="X5" s="22">
        <f t="shared" si="0"/>
        <v>0</v>
      </c>
      <c r="Y5" s="22">
        <f t="shared" si="0"/>
        <v>0</v>
      </c>
      <c r="Z5" s="22">
        <f t="shared" si="2"/>
        <v>16.666666666666668</v>
      </c>
      <c r="AA5" s="22">
        <f t="shared" si="2"/>
        <v>0</v>
      </c>
      <c r="AB5" s="22">
        <f t="shared" si="0"/>
        <v>0</v>
      </c>
      <c r="AC5" s="22">
        <f t="shared" si="0"/>
        <v>0</v>
      </c>
      <c r="AD5" s="22">
        <f t="shared" si="0"/>
        <v>0</v>
      </c>
      <c r="AE5" s="22">
        <f t="shared" si="0"/>
        <v>0</v>
      </c>
      <c r="AF5" s="22">
        <f t="shared" si="0"/>
        <v>0</v>
      </c>
      <c r="AG5" s="22">
        <f t="shared" si="0"/>
        <v>0</v>
      </c>
      <c r="AH5" s="22">
        <f t="shared" si="0"/>
        <v>0</v>
      </c>
      <c r="AI5" s="22">
        <f t="shared" si="0"/>
        <v>0</v>
      </c>
      <c r="AJ5" s="22">
        <f t="shared" si="0"/>
        <v>0</v>
      </c>
      <c r="AK5" s="61"/>
      <c r="AM5" s="35" t="s">
        <v>305</v>
      </c>
    </row>
    <row r="6" spans="1:39">
      <c r="A6" s="35">
        <v>5</v>
      </c>
      <c r="B6" s="35">
        <v>5</v>
      </c>
      <c r="C6" s="35" t="s">
        <v>304</v>
      </c>
      <c r="D6" s="3"/>
      <c r="E6" s="3">
        <v>240</v>
      </c>
      <c r="F6" s="3">
        <v>22</v>
      </c>
      <c r="G6" s="3">
        <f>122+48</f>
        <v>170</v>
      </c>
      <c r="H6" s="3"/>
      <c r="I6" s="418">
        <f>48+22</f>
        <v>70</v>
      </c>
      <c r="J6" s="418"/>
      <c r="K6" s="418"/>
      <c r="L6" s="418"/>
      <c r="M6" s="418"/>
      <c r="N6" s="418"/>
      <c r="O6" s="418"/>
      <c r="P6" s="418"/>
      <c r="Q6" s="418"/>
      <c r="R6" s="418"/>
      <c r="S6" s="418"/>
      <c r="T6" s="56">
        <v>6</v>
      </c>
      <c r="U6" s="22">
        <f>D6/$T6</f>
        <v>0</v>
      </c>
      <c r="V6" s="22">
        <f t="shared" si="0"/>
        <v>40</v>
      </c>
      <c r="W6" s="22">
        <f t="shared" si="0"/>
        <v>3.6666666666666665</v>
      </c>
      <c r="X6" s="22">
        <f t="shared" si="0"/>
        <v>28.333333333333332</v>
      </c>
      <c r="Y6" s="22">
        <f t="shared" si="0"/>
        <v>0</v>
      </c>
      <c r="Z6" s="22">
        <f t="shared" si="2"/>
        <v>11.666666666666666</v>
      </c>
      <c r="AA6" s="22">
        <f t="shared" si="2"/>
        <v>0</v>
      </c>
      <c r="AB6" s="22">
        <f t="shared" si="0"/>
        <v>0</v>
      </c>
      <c r="AC6" s="22">
        <f t="shared" si="0"/>
        <v>0</v>
      </c>
      <c r="AD6" s="22">
        <f t="shared" si="0"/>
        <v>0</v>
      </c>
      <c r="AE6" s="22">
        <f t="shared" si="0"/>
        <v>0</v>
      </c>
      <c r="AF6" s="22">
        <f t="shared" si="0"/>
        <v>0</v>
      </c>
      <c r="AG6" s="22">
        <f t="shared" si="0"/>
        <v>0</v>
      </c>
      <c r="AH6" s="22">
        <f t="shared" si="0"/>
        <v>0</v>
      </c>
      <c r="AI6" s="22">
        <f t="shared" si="0"/>
        <v>0</v>
      </c>
      <c r="AJ6" s="22">
        <f t="shared" si="0"/>
        <v>0</v>
      </c>
      <c r="AK6" s="61"/>
      <c r="AM6" s="35" t="s">
        <v>722</v>
      </c>
    </row>
    <row r="7" spans="1:39">
      <c r="A7" s="35">
        <v>6</v>
      </c>
      <c r="B7" s="35">
        <v>6</v>
      </c>
      <c r="C7" s="35" t="s">
        <v>304</v>
      </c>
      <c r="D7" s="3"/>
      <c r="E7" s="3"/>
      <c r="F7" s="3"/>
      <c r="G7" s="3">
        <v>58</v>
      </c>
      <c r="H7" s="3"/>
      <c r="I7" s="3">
        <v>120</v>
      </c>
      <c r="J7" s="418"/>
      <c r="K7" s="418"/>
      <c r="L7" s="418"/>
      <c r="M7" s="418"/>
      <c r="N7" s="418"/>
      <c r="O7" s="418"/>
      <c r="P7" s="418"/>
      <c r="Q7" s="418"/>
      <c r="R7" s="418"/>
      <c r="S7" s="418"/>
      <c r="T7" s="56">
        <v>7</v>
      </c>
      <c r="U7" s="22">
        <f t="shared" si="1"/>
        <v>0</v>
      </c>
      <c r="V7" s="22">
        <f t="shared" si="0"/>
        <v>0</v>
      </c>
      <c r="W7" s="22">
        <f t="shared" si="0"/>
        <v>0</v>
      </c>
      <c r="X7" s="22">
        <f t="shared" si="0"/>
        <v>8.2857142857142865</v>
      </c>
      <c r="Y7" s="22">
        <f t="shared" si="0"/>
        <v>0</v>
      </c>
      <c r="Z7" s="22">
        <f t="shared" si="0"/>
        <v>17.142857142857142</v>
      </c>
      <c r="AA7" s="22">
        <f t="shared" si="0"/>
        <v>0</v>
      </c>
      <c r="AB7" s="22">
        <f t="shared" si="0"/>
        <v>0</v>
      </c>
      <c r="AC7" s="22">
        <f t="shared" si="0"/>
        <v>0</v>
      </c>
      <c r="AD7" s="22">
        <f t="shared" si="0"/>
        <v>0</v>
      </c>
      <c r="AE7" s="22">
        <f t="shared" si="0"/>
        <v>0</v>
      </c>
      <c r="AF7" s="22">
        <f t="shared" si="0"/>
        <v>0</v>
      </c>
      <c r="AG7" s="22">
        <f t="shared" si="0"/>
        <v>0</v>
      </c>
      <c r="AH7" s="22">
        <f t="shared" si="0"/>
        <v>0</v>
      </c>
      <c r="AI7" s="22">
        <f t="shared" si="0"/>
        <v>0</v>
      </c>
      <c r="AJ7" s="22">
        <f t="shared" si="0"/>
        <v>0</v>
      </c>
      <c r="AK7" s="61"/>
      <c r="AM7" s="35" t="s">
        <v>322</v>
      </c>
    </row>
    <row r="8" spans="1:39">
      <c r="A8" s="35">
        <v>7</v>
      </c>
      <c r="B8" s="35">
        <v>7</v>
      </c>
      <c r="C8" s="63" t="s">
        <v>721</v>
      </c>
      <c r="D8" s="3">
        <v>63</v>
      </c>
      <c r="E8" s="3">
        <v>62</v>
      </c>
      <c r="F8" s="3">
        <v>32</v>
      </c>
      <c r="G8" s="3">
        <f>33+108+22+22</f>
        <v>185</v>
      </c>
      <c r="H8" s="3"/>
      <c r="I8" s="3">
        <v>72</v>
      </c>
      <c r="J8" s="418"/>
      <c r="K8" s="418">
        <v>80</v>
      </c>
      <c r="L8" s="418">
        <v>105</v>
      </c>
      <c r="M8" s="418"/>
      <c r="N8" s="418"/>
      <c r="O8" s="418"/>
      <c r="P8" s="418"/>
      <c r="Q8" s="418"/>
      <c r="R8" s="418"/>
      <c r="S8" s="418"/>
      <c r="T8" s="56">
        <v>7</v>
      </c>
      <c r="U8" s="22">
        <f t="shared" si="1"/>
        <v>9</v>
      </c>
      <c r="V8" s="22">
        <f t="shared" si="0"/>
        <v>8.8571428571428577</v>
      </c>
      <c r="W8" s="22">
        <f t="shared" si="0"/>
        <v>4.5714285714285712</v>
      </c>
      <c r="X8" s="22">
        <f t="shared" si="0"/>
        <v>26.428571428571427</v>
      </c>
      <c r="Y8" s="22">
        <f t="shared" si="0"/>
        <v>0</v>
      </c>
      <c r="Z8" s="22">
        <f t="shared" si="0"/>
        <v>10.285714285714286</v>
      </c>
      <c r="AA8" s="22">
        <f t="shared" si="0"/>
        <v>0</v>
      </c>
      <c r="AB8" s="22">
        <f t="shared" si="0"/>
        <v>11.428571428571429</v>
      </c>
      <c r="AC8" s="22">
        <f t="shared" si="0"/>
        <v>15</v>
      </c>
      <c r="AD8" s="22">
        <f t="shared" si="0"/>
        <v>0</v>
      </c>
      <c r="AE8" s="22">
        <f t="shared" si="0"/>
        <v>0</v>
      </c>
      <c r="AF8" s="22">
        <f t="shared" si="0"/>
        <v>0</v>
      </c>
      <c r="AG8" s="22">
        <f t="shared" si="0"/>
        <v>0</v>
      </c>
      <c r="AH8" s="22">
        <f t="shared" si="0"/>
        <v>0</v>
      </c>
      <c r="AI8" s="22">
        <f t="shared" si="0"/>
        <v>0</v>
      </c>
      <c r="AJ8" s="22">
        <f t="shared" si="0"/>
        <v>0</v>
      </c>
      <c r="AK8" s="61"/>
      <c r="AM8" s="35" t="s">
        <v>365</v>
      </c>
    </row>
    <row r="9" spans="1:39">
      <c r="A9" s="35">
        <v>8</v>
      </c>
      <c r="B9" s="35">
        <v>8</v>
      </c>
      <c r="C9" s="63" t="s">
        <v>721</v>
      </c>
      <c r="D9" s="3"/>
      <c r="E9" s="3"/>
      <c r="F9" s="3"/>
      <c r="G9" s="3"/>
      <c r="H9" s="3"/>
      <c r="I9" s="3">
        <v>180</v>
      </c>
      <c r="J9" s="418"/>
      <c r="K9" s="418"/>
      <c r="L9" s="418"/>
      <c r="M9" s="418"/>
      <c r="N9" s="418"/>
      <c r="O9" s="418"/>
      <c r="P9" s="418"/>
      <c r="Q9" s="418"/>
      <c r="R9" s="418"/>
      <c r="S9" s="418"/>
      <c r="T9" s="56">
        <v>6</v>
      </c>
      <c r="U9" s="22">
        <f>D9/$T9</f>
        <v>0</v>
      </c>
      <c r="V9" s="22">
        <f t="shared" si="0"/>
        <v>0</v>
      </c>
      <c r="W9" s="22">
        <f t="shared" si="0"/>
        <v>0</v>
      </c>
      <c r="X9" s="22">
        <f t="shared" si="0"/>
        <v>0</v>
      </c>
      <c r="Y9" s="22">
        <f t="shared" si="0"/>
        <v>0</v>
      </c>
      <c r="Z9" s="22">
        <f t="shared" si="0"/>
        <v>30</v>
      </c>
      <c r="AA9" s="22">
        <f t="shared" si="0"/>
        <v>0</v>
      </c>
      <c r="AB9" s="22">
        <f t="shared" si="0"/>
        <v>0</v>
      </c>
      <c r="AC9" s="22">
        <f t="shared" si="0"/>
        <v>0</v>
      </c>
      <c r="AD9" s="22">
        <f t="shared" si="0"/>
        <v>0</v>
      </c>
      <c r="AE9" s="22">
        <f t="shared" si="0"/>
        <v>0</v>
      </c>
      <c r="AF9" s="22">
        <f t="shared" si="0"/>
        <v>0</v>
      </c>
      <c r="AG9" s="22">
        <f t="shared" si="0"/>
        <v>0</v>
      </c>
      <c r="AH9" s="22">
        <f t="shared" si="0"/>
        <v>0</v>
      </c>
      <c r="AI9" s="22">
        <f t="shared" si="0"/>
        <v>0</v>
      </c>
      <c r="AJ9" s="22">
        <f t="shared" si="0"/>
        <v>0</v>
      </c>
      <c r="AK9" s="61"/>
      <c r="AM9" s="35" t="s">
        <v>590</v>
      </c>
    </row>
    <row r="10" spans="1:39">
      <c r="A10" s="63">
        <v>9</v>
      </c>
      <c r="B10" s="35">
        <v>9</v>
      </c>
      <c r="C10" s="63" t="s">
        <v>304</v>
      </c>
      <c r="D10" s="3"/>
      <c r="E10" s="3"/>
      <c r="F10" s="3"/>
      <c r="G10" s="3"/>
      <c r="H10" s="3"/>
      <c r="I10" s="3">
        <v>180</v>
      </c>
      <c r="J10" s="418"/>
      <c r="K10" s="418"/>
      <c r="L10" s="418"/>
      <c r="M10" s="418"/>
      <c r="N10" s="418"/>
      <c r="O10" s="418"/>
      <c r="P10" s="418"/>
      <c r="Q10" s="418"/>
      <c r="R10" s="418"/>
      <c r="S10" s="418"/>
      <c r="T10" s="56">
        <v>6</v>
      </c>
      <c r="U10" s="22">
        <f t="shared" si="1"/>
        <v>0</v>
      </c>
      <c r="V10" s="22">
        <f t="shared" si="0"/>
        <v>0</v>
      </c>
      <c r="W10" s="22">
        <f t="shared" si="0"/>
        <v>0</v>
      </c>
      <c r="X10" s="22">
        <f t="shared" si="0"/>
        <v>0</v>
      </c>
      <c r="Y10" s="22">
        <f t="shared" si="0"/>
        <v>0</v>
      </c>
      <c r="Z10" s="22">
        <f t="shared" si="0"/>
        <v>30</v>
      </c>
      <c r="AA10" s="22">
        <f t="shared" si="0"/>
        <v>0</v>
      </c>
      <c r="AB10" s="22">
        <f t="shared" si="0"/>
        <v>0</v>
      </c>
      <c r="AC10" s="22">
        <f t="shared" si="0"/>
        <v>0</v>
      </c>
      <c r="AD10" s="22">
        <f t="shared" si="0"/>
        <v>0</v>
      </c>
      <c r="AE10" s="22">
        <f t="shared" si="0"/>
        <v>0</v>
      </c>
      <c r="AF10" s="22">
        <f t="shared" si="0"/>
        <v>0</v>
      </c>
      <c r="AG10" s="22">
        <f t="shared" si="0"/>
        <v>0</v>
      </c>
      <c r="AH10" s="22">
        <f t="shared" si="0"/>
        <v>0</v>
      </c>
      <c r="AI10" s="22">
        <f t="shared" si="0"/>
        <v>0</v>
      </c>
      <c r="AJ10" s="22">
        <f t="shared" si="0"/>
        <v>0</v>
      </c>
      <c r="AK10" s="61"/>
    </row>
    <row r="11" spans="1:39">
      <c r="A11" s="35">
        <v>10</v>
      </c>
      <c r="B11" s="35">
        <v>10</v>
      </c>
      <c r="C11" s="422"/>
      <c r="D11" s="418"/>
      <c r="E11" s="418"/>
      <c r="F11" s="418"/>
      <c r="G11" s="418"/>
      <c r="H11" s="418"/>
      <c r="I11" s="418"/>
      <c r="J11" s="418"/>
      <c r="K11" s="418"/>
      <c r="L11" s="418"/>
      <c r="M11" s="418"/>
      <c r="N11" s="418"/>
      <c r="O11" s="418"/>
      <c r="P11" s="418"/>
      <c r="Q11" s="418"/>
      <c r="R11" s="418"/>
      <c r="S11" s="418"/>
      <c r="T11" s="56"/>
      <c r="U11" s="22" t="e">
        <f t="shared" si="1"/>
        <v>#DIV/0!</v>
      </c>
      <c r="V11" s="22" t="e">
        <f t="shared" si="0"/>
        <v>#DIV/0!</v>
      </c>
      <c r="W11" s="22" t="e">
        <f t="shared" si="0"/>
        <v>#DIV/0!</v>
      </c>
      <c r="X11" s="22" t="e">
        <f t="shared" si="0"/>
        <v>#DIV/0!</v>
      </c>
      <c r="Y11" s="22" t="e">
        <f t="shared" si="0"/>
        <v>#DIV/0!</v>
      </c>
      <c r="Z11" s="22" t="e">
        <f t="shared" si="0"/>
        <v>#DIV/0!</v>
      </c>
      <c r="AA11" s="22" t="e">
        <f t="shared" si="0"/>
        <v>#DIV/0!</v>
      </c>
      <c r="AB11" s="22" t="e">
        <f t="shared" si="0"/>
        <v>#DIV/0!</v>
      </c>
      <c r="AC11" s="22" t="e">
        <f t="shared" si="0"/>
        <v>#DIV/0!</v>
      </c>
      <c r="AD11" s="22" t="e">
        <f t="shared" si="0"/>
        <v>#DIV/0!</v>
      </c>
      <c r="AE11" s="22" t="e">
        <f t="shared" si="0"/>
        <v>#DIV/0!</v>
      </c>
      <c r="AF11" s="22" t="e">
        <f t="shared" si="0"/>
        <v>#DIV/0!</v>
      </c>
      <c r="AG11" s="22" t="e">
        <f t="shared" si="0"/>
        <v>#DIV/0!</v>
      </c>
      <c r="AH11" s="22" t="e">
        <f t="shared" si="0"/>
        <v>#DIV/0!</v>
      </c>
      <c r="AI11" s="22" t="e">
        <f t="shared" si="0"/>
        <v>#DIV/0!</v>
      </c>
      <c r="AJ11" s="22" t="e">
        <f t="shared" si="0"/>
        <v>#DIV/0!</v>
      </c>
      <c r="AK11" s="61"/>
    </row>
    <row r="12" spans="1:39">
      <c r="A12" s="35">
        <v>11</v>
      </c>
      <c r="B12" s="35">
        <v>11</v>
      </c>
      <c r="C12" s="35"/>
      <c r="D12" s="3"/>
      <c r="E12" s="3"/>
      <c r="F12" s="3"/>
      <c r="G12" s="3"/>
      <c r="H12" s="418"/>
      <c r="I12" s="3"/>
      <c r="J12" s="418"/>
      <c r="K12" s="418"/>
      <c r="L12" s="418"/>
      <c r="M12" s="418"/>
      <c r="N12" s="418"/>
      <c r="O12" s="418"/>
      <c r="P12" s="418"/>
      <c r="Q12" s="418"/>
      <c r="R12" s="418"/>
      <c r="S12" s="418"/>
      <c r="T12" s="56"/>
      <c r="U12" s="22" t="e">
        <f t="shared" si="1"/>
        <v>#DIV/0!</v>
      </c>
      <c r="V12" s="22" t="e">
        <f t="shared" si="0"/>
        <v>#DIV/0!</v>
      </c>
      <c r="W12" s="22" t="e">
        <f t="shared" si="0"/>
        <v>#DIV/0!</v>
      </c>
      <c r="X12" s="22" t="e">
        <f t="shared" si="0"/>
        <v>#DIV/0!</v>
      </c>
      <c r="Y12" s="22" t="e">
        <f t="shared" si="0"/>
        <v>#DIV/0!</v>
      </c>
      <c r="Z12" s="22" t="e">
        <f t="shared" si="0"/>
        <v>#DIV/0!</v>
      </c>
      <c r="AA12" s="22" t="e">
        <f t="shared" si="0"/>
        <v>#DIV/0!</v>
      </c>
      <c r="AB12" s="22" t="e">
        <f t="shared" si="0"/>
        <v>#DIV/0!</v>
      </c>
      <c r="AC12" s="22" t="e">
        <f t="shared" si="0"/>
        <v>#DIV/0!</v>
      </c>
      <c r="AD12" s="22" t="e">
        <f t="shared" si="0"/>
        <v>#DIV/0!</v>
      </c>
      <c r="AE12" s="22" t="e">
        <f t="shared" si="0"/>
        <v>#DIV/0!</v>
      </c>
      <c r="AF12" s="22" t="e">
        <f t="shared" si="0"/>
        <v>#DIV/0!</v>
      </c>
      <c r="AG12" s="22" t="e">
        <f t="shared" si="0"/>
        <v>#DIV/0!</v>
      </c>
      <c r="AH12" s="22" t="e">
        <f t="shared" si="0"/>
        <v>#DIV/0!</v>
      </c>
      <c r="AI12" s="22" t="e">
        <f t="shared" si="0"/>
        <v>#DIV/0!</v>
      </c>
      <c r="AJ12" s="22" t="e">
        <f t="shared" si="0"/>
        <v>#DIV/0!</v>
      </c>
      <c r="AK12" s="61"/>
    </row>
    <row r="13" spans="1:39">
      <c r="A13" s="35">
        <v>12</v>
      </c>
      <c r="B13" s="35">
        <v>12</v>
      </c>
      <c r="C13" s="35"/>
      <c r="D13" s="3"/>
      <c r="E13" s="3"/>
      <c r="F13" s="3"/>
      <c r="G13" s="3"/>
      <c r="H13" s="418"/>
      <c r="I13" s="3"/>
      <c r="J13" s="418"/>
      <c r="K13" s="418"/>
      <c r="L13" s="418"/>
      <c r="M13" s="3"/>
      <c r="N13" s="3"/>
      <c r="O13" s="418"/>
      <c r="P13" s="3"/>
      <c r="Q13" s="3"/>
      <c r="R13" s="3"/>
      <c r="S13" s="3"/>
      <c r="T13" s="56"/>
      <c r="U13" s="22" t="e">
        <f t="shared" si="1"/>
        <v>#DIV/0!</v>
      </c>
      <c r="V13" s="22" t="e">
        <f t="shared" si="0"/>
        <v>#DIV/0!</v>
      </c>
      <c r="W13" s="22" t="e">
        <f t="shared" si="0"/>
        <v>#DIV/0!</v>
      </c>
      <c r="X13" s="22" t="e">
        <f t="shared" si="0"/>
        <v>#DIV/0!</v>
      </c>
      <c r="Y13" s="22" t="e">
        <f t="shared" si="0"/>
        <v>#DIV/0!</v>
      </c>
      <c r="Z13" s="22" t="e">
        <f t="shared" si="0"/>
        <v>#DIV/0!</v>
      </c>
      <c r="AA13" s="22" t="e">
        <f t="shared" si="0"/>
        <v>#DIV/0!</v>
      </c>
      <c r="AB13" s="22" t="e">
        <f t="shared" si="0"/>
        <v>#DIV/0!</v>
      </c>
      <c r="AC13" s="22" t="e">
        <f t="shared" si="0"/>
        <v>#DIV/0!</v>
      </c>
      <c r="AD13" s="22" t="e">
        <f t="shared" si="0"/>
        <v>#DIV/0!</v>
      </c>
      <c r="AE13" s="22" t="e">
        <f t="shared" si="0"/>
        <v>#DIV/0!</v>
      </c>
      <c r="AF13" s="22" t="e">
        <f t="shared" si="0"/>
        <v>#DIV/0!</v>
      </c>
      <c r="AG13" s="22" t="e">
        <f t="shared" si="0"/>
        <v>#DIV/0!</v>
      </c>
      <c r="AH13" s="22" t="e">
        <f t="shared" si="0"/>
        <v>#DIV/0!</v>
      </c>
      <c r="AI13" s="22" t="e">
        <f t="shared" si="0"/>
        <v>#DIV/0!</v>
      </c>
      <c r="AJ13" s="22" t="e">
        <f t="shared" si="0"/>
        <v>#DIV/0!</v>
      </c>
      <c r="AK13" s="61"/>
    </row>
    <row r="14" spans="1:39">
      <c r="A14" s="35">
        <v>13</v>
      </c>
      <c r="B14" s="35">
        <v>13</v>
      </c>
      <c r="C14" s="35"/>
      <c r="D14" s="3"/>
      <c r="E14" s="3"/>
      <c r="F14" s="3"/>
      <c r="G14" s="3"/>
      <c r="H14" s="3"/>
      <c r="I14" s="3"/>
      <c r="J14" s="3"/>
      <c r="K14" s="418"/>
      <c r="L14" s="418"/>
      <c r="M14" s="3"/>
      <c r="N14" s="3"/>
      <c r="O14" s="418"/>
      <c r="P14" s="3"/>
      <c r="Q14" s="3"/>
      <c r="R14" s="3"/>
      <c r="S14" s="3"/>
      <c r="T14" s="56"/>
      <c r="U14" s="22" t="e">
        <f t="shared" si="1"/>
        <v>#DIV/0!</v>
      </c>
      <c r="V14" s="22" t="e">
        <f t="shared" si="0"/>
        <v>#DIV/0!</v>
      </c>
      <c r="W14" s="22" t="e">
        <f t="shared" si="0"/>
        <v>#DIV/0!</v>
      </c>
      <c r="X14" s="22" t="e">
        <f t="shared" si="0"/>
        <v>#DIV/0!</v>
      </c>
      <c r="Y14" s="22" t="e">
        <f t="shared" si="0"/>
        <v>#DIV/0!</v>
      </c>
      <c r="Z14" s="22" t="e">
        <f t="shared" si="0"/>
        <v>#DIV/0!</v>
      </c>
      <c r="AA14" s="22" t="e">
        <f t="shared" si="0"/>
        <v>#DIV/0!</v>
      </c>
      <c r="AB14" s="22" t="e">
        <f t="shared" si="0"/>
        <v>#DIV/0!</v>
      </c>
      <c r="AC14" s="22" t="e">
        <f t="shared" si="0"/>
        <v>#DIV/0!</v>
      </c>
      <c r="AD14" s="22" t="e">
        <f t="shared" si="0"/>
        <v>#DIV/0!</v>
      </c>
      <c r="AE14" s="22" t="e">
        <f t="shared" si="0"/>
        <v>#DIV/0!</v>
      </c>
      <c r="AF14" s="22" t="e">
        <f t="shared" si="0"/>
        <v>#DIV/0!</v>
      </c>
      <c r="AG14" s="22" t="e">
        <f t="shared" si="0"/>
        <v>#DIV/0!</v>
      </c>
      <c r="AH14" s="22" t="e">
        <f t="shared" si="0"/>
        <v>#DIV/0!</v>
      </c>
      <c r="AI14" s="22" t="e">
        <f t="shared" si="0"/>
        <v>#DIV/0!</v>
      </c>
      <c r="AJ14" s="22" t="e">
        <f t="shared" si="0"/>
        <v>#DIV/0!</v>
      </c>
      <c r="AK14" s="61"/>
    </row>
    <row r="15" spans="1:39">
      <c r="A15" s="35">
        <v>14</v>
      </c>
      <c r="B15" s="35">
        <v>14</v>
      </c>
      <c r="C15" s="63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418"/>
      <c r="O15" s="418"/>
      <c r="P15" s="418"/>
      <c r="Q15" s="418"/>
      <c r="R15" s="418"/>
      <c r="S15" s="418"/>
      <c r="T15" s="56"/>
      <c r="U15" s="22" t="e">
        <f t="shared" si="1"/>
        <v>#DIV/0!</v>
      </c>
      <c r="V15" s="22" t="e">
        <f t="shared" si="0"/>
        <v>#DIV/0!</v>
      </c>
      <c r="W15" s="22" t="e">
        <f t="shared" si="0"/>
        <v>#DIV/0!</v>
      </c>
      <c r="X15" s="22" t="e">
        <f t="shared" si="0"/>
        <v>#DIV/0!</v>
      </c>
      <c r="Y15" s="22" t="e">
        <f t="shared" si="0"/>
        <v>#DIV/0!</v>
      </c>
      <c r="Z15" s="22" t="e">
        <f t="shared" si="0"/>
        <v>#DIV/0!</v>
      </c>
      <c r="AA15" s="22" t="e">
        <f t="shared" si="0"/>
        <v>#DIV/0!</v>
      </c>
      <c r="AB15" s="22" t="e">
        <f t="shared" si="0"/>
        <v>#DIV/0!</v>
      </c>
      <c r="AC15" s="22" t="e">
        <f t="shared" si="0"/>
        <v>#DIV/0!</v>
      </c>
      <c r="AD15" s="22" t="e">
        <f t="shared" si="0"/>
        <v>#DIV/0!</v>
      </c>
      <c r="AE15" s="22" t="e">
        <f t="shared" si="0"/>
        <v>#DIV/0!</v>
      </c>
      <c r="AF15" s="22" t="e">
        <f t="shared" si="0"/>
        <v>#DIV/0!</v>
      </c>
      <c r="AG15" s="22" t="e">
        <f t="shared" si="0"/>
        <v>#DIV/0!</v>
      </c>
      <c r="AH15" s="22" t="e">
        <f t="shared" si="0"/>
        <v>#DIV/0!</v>
      </c>
      <c r="AI15" s="22" t="e">
        <f t="shared" si="0"/>
        <v>#DIV/0!</v>
      </c>
      <c r="AJ15" s="22" t="e">
        <f t="shared" si="0"/>
        <v>#DIV/0!</v>
      </c>
      <c r="AK15" s="61"/>
    </row>
    <row r="16" spans="1:39">
      <c r="A16" s="63">
        <v>15</v>
      </c>
      <c r="B16" s="35">
        <v>15</v>
      </c>
      <c r="C16" s="63"/>
      <c r="D16" s="3"/>
      <c r="E16" s="3"/>
      <c r="F16" s="3"/>
      <c r="G16" s="3"/>
      <c r="H16" s="3"/>
      <c r="I16" s="3"/>
      <c r="J16" s="3"/>
      <c r="K16" s="3"/>
      <c r="L16" s="3"/>
      <c r="M16" s="3"/>
      <c r="N16" s="418"/>
      <c r="O16" s="418"/>
      <c r="P16" s="3"/>
      <c r="Q16" s="3"/>
      <c r="R16" s="418"/>
      <c r="S16" s="3"/>
      <c r="T16" s="56"/>
      <c r="U16" s="22" t="e">
        <f t="shared" ref="U16:U27" si="3">D16/$T16</f>
        <v>#DIV/0!</v>
      </c>
      <c r="V16" s="22" t="e">
        <f t="shared" ref="V16:V27" si="4">E16/$T16</f>
        <v>#DIV/0!</v>
      </c>
      <c r="W16" s="22" t="e">
        <f t="shared" ref="W16:W27" si="5">F16/$T16</f>
        <v>#DIV/0!</v>
      </c>
      <c r="X16" s="22" t="e">
        <f t="shared" ref="X16:X27" si="6">G16/$T16</f>
        <v>#DIV/0!</v>
      </c>
      <c r="Y16" s="22" t="e">
        <f t="shared" ref="Y16:Y27" si="7">H16/$T16</f>
        <v>#DIV/0!</v>
      </c>
      <c r="Z16" s="22" t="e">
        <f t="shared" ref="Z16:Z27" si="8">I16/$T16</f>
        <v>#DIV/0!</v>
      </c>
      <c r="AA16" s="22" t="e">
        <f t="shared" ref="AA16:AA27" si="9">J16/$T16</f>
        <v>#DIV/0!</v>
      </c>
      <c r="AB16" s="22" t="e">
        <f t="shared" ref="AB16:AB27" si="10">K16/$T16</f>
        <v>#DIV/0!</v>
      </c>
      <c r="AC16" s="22" t="e">
        <f t="shared" ref="AC16:AC27" si="11">L16/$T16</f>
        <v>#DIV/0!</v>
      </c>
      <c r="AD16" s="22" t="e">
        <f t="shared" ref="AD16:AD27" si="12">M16/$T16</f>
        <v>#DIV/0!</v>
      </c>
      <c r="AE16" s="22" t="e">
        <f t="shared" ref="AE16:AE27" si="13">N16/$T16</f>
        <v>#DIV/0!</v>
      </c>
      <c r="AF16" s="22" t="e">
        <f t="shared" ref="AF16:AF27" si="14">O16/$T16</f>
        <v>#DIV/0!</v>
      </c>
      <c r="AG16" s="22" t="e">
        <f t="shared" ref="AG16:AG27" si="15">P16/$T16</f>
        <v>#DIV/0!</v>
      </c>
      <c r="AH16" s="22" t="e">
        <f t="shared" ref="AH16:AH27" si="16">Q16/$T16</f>
        <v>#DIV/0!</v>
      </c>
      <c r="AI16" s="22" t="e">
        <f t="shared" ref="AI16:AI27" si="17">R16/$T16</f>
        <v>#DIV/0!</v>
      </c>
      <c r="AJ16" s="22" t="e">
        <f t="shared" ref="AJ16:AJ27" si="18">S16/$T16</f>
        <v>#DIV/0!</v>
      </c>
      <c r="AK16" s="61"/>
    </row>
    <row r="17" spans="1:37">
      <c r="A17" s="35">
        <v>16</v>
      </c>
      <c r="B17" s="35">
        <v>16</v>
      </c>
      <c r="C17" s="63"/>
      <c r="D17" s="3"/>
      <c r="E17" s="3"/>
      <c r="F17" s="3"/>
      <c r="G17" s="3"/>
      <c r="H17" s="3"/>
      <c r="I17" s="3"/>
      <c r="J17" s="3"/>
      <c r="K17" s="3"/>
      <c r="L17" s="3"/>
      <c r="M17" s="3"/>
      <c r="N17" s="418"/>
      <c r="O17" s="418"/>
      <c r="P17" s="3"/>
      <c r="Q17" s="3"/>
      <c r="R17" s="418"/>
      <c r="S17" s="3"/>
      <c r="T17" s="56"/>
      <c r="U17" s="22" t="e">
        <f t="shared" si="3"/>
        <v>#DIV/0!</v>
      </c>
      <c r="V17" s="22" t="e">
        <f t="shared" si="4"/>
        <v>#DIV/0!</v>
      </c>
      <c r="W17" s="22" t="e">
        <f t="shared" si="5"/>
        <v>#DIV/0!</v>
      </c>
      <c r="X17" s="22" t="e">
        <f t="shared" si="6"/>
        <v>#DIV/0!</v>
      </c>
      <c r="Y17" s="22" t="e">
        <f t="shared" si="7"/>
        <v>#DIV/0!</v>
      </c>
      <c r="Z17" s="22" t="e">
        <f t="shared" si="8"/>
        <v>#DIV/0!</v>
      </c>
      <c r="AA17" s="22" t="e">
        <f t="shared" si="9"/>
        <v>#DIV/0!</v>
      </c>
      <c r="AB17" s="22" t="e">
        <f t="shared" si="10"/>
        <v>#DIV/0!</v>
      </c>
      <c r="AC17" s="22" t="e">
        <f t="shared" si="11"/>
        <v>#DIV/0!</v>
      </c>
      <c r="AD17" s="22" t="e">
        <f t="shared" si="12"/>
        <v>#DIV/0!</v>
      </c>
      <c r="AE17" s="22" t="e">
        <f t="shared" si="13"/>
        <v>#DIV/0!</v>
      </c>
      <c r="AF17" s="22" t="e">
        <f t="shared" si="14"/>
        <v>#DIV/0!</v>
      </c>
      <c r="AG17" s="22" t="e">
        <f t="shared" si="15"/>
        <v>#DIV/0!</v>
      </c>
      <c r="AH17" s="22" t="e">
        <f t="shared" si="16"/>
        <v>#DIV/0!</v>
      </c>
      <c r="AI17" s="22" t="e">
        <f t="shared" si="17"/>
        <v>#DIV/0!</v>
      </c>
      <c r="AJ17" s="22" t="e">
        <f t="shared" si="18"/>
        <v>#DIV/0!</v>
      </c>
      <c r="AK17" s="61"/>
    </row>
    <row r="18" spans="1:37">
      <c r="A18" s="35">
        <v>17</v>
      </c>
      <c r="B18" s="35">
        <v>17</v>
      </c>
      <c r="C18" s="63"/>
      <c r="D18" s="3"/>
      <c r="E18" s="3"/>
      <c r="F18" s="3"/>
      <c r="G18" s="3"/>
      <c r="H18" s="3"/>
      <c r="I18" s="3"/>
      <c r="J18" s="3"/>
      <c r="K18" s="3"/>
      <c r="L18" s="3"/>
      <c r="M18" s="3"/>
      <c r="N18" s="418"/>
      <c r="O18" s="3"/>
      <c r="P18" s="3"/>
      <c r="Q18" s="3"/>
      <c r="R18" s="418"/>
      <c r="S18" s="3"/>
      <c r="T18" s="56"/>
      <c r="U18" s="22" t="e">
        <f t="shared" si="3"/>
        <v>#DIV/0!</v>
      </c>
      <c r="V18" s="22" t="e">
        <f t="shared" si="4"/>
        <v>#DIV/0!</v>
      </c>
      <c r="W18" s="22" t="e">
        <f t="shared" si="5"/>
        <v>#DIV/0!</v>
      </c>
      <c r="X18" s="22" t="e">
        <f t="shared" si="6"/>
        <v>#DIV/0!</v>
      </c>
      <c r="Y18" s="22" t="e">
        <f t="shared" si="7"/>
        <v>#DIV/0!</v>
      </c>
      <c r="Z18" s="22" t="e">
        <f t="shared" si="8"/>
        <v>#DIV/0!</v>
      </c>
      <c r="AA18" s="22" t="e">
        <f t="shared" si="9"/>
        <v>#DIV/0!</v>
      </c>
      <c r="AB18" s="22" t="e">
        <f t="shared" si="10"/>
        <v>#DIV/0!</v>
      </c>
      <c r="AC18" s="22" t="e">
        <f t="shared" si="11"/>
        <v>#DIV/0!</v>
      </c>
      <c r="AD18" s="22" t="e">
        <f t="shared" si="12"/>
        <v>#DIV/0!</v>
      </c>
      <c r="AE18" s="22" t="e">
        <f t="shared" si="13"/>
        <v>#DIV/0!</v>
      </c>
      <c r="AF18" s="22" t="e">
        <f t="shared" si="14"/>
        <v>#DIV/0!</v>
      </c>
      <c r="AG18" s="22" t="e">
        <f t="shared" si="15"/>
        <v>#DIV/0!</v>
      </c>
      <c r="AH18" s="22" t="e">
        <f t="shared" si="16"/>
        <v>#DIV/0!</v>
      </c>
      <c r="AI18" s="22" t="e">
        <f t="shared" si="17"/>
        <v>#DIV/0!</v>
      </c>
      <c r="AJ18" s="22" t="e">
        <f t="shared" si="18"/>
        <v>#DIV/0!</v>
      </c>
      <c r="AK18" s="61"/>
    </row>
    <row r="19" spans="1:37">
      <c r="A19" s="35">
        <v>18</v>
      </c>
      <c r="B19" s="35">
        <v>18</v>
      </c>
      <c r="C19" s="63"/>
      <c r="D19" s="3"/>
      <c r="E19" s="3"/>
      <c r="F19" s="3"/>
      <c r="G19" s="3"/>
      <c r="H19" s="3"/>
      <c r="I19" s="3"/>
      <c r="J19" s="3"/>
      <c r="K19" s="3"/>
      <c r="L19" s="3"/>
      <c r="M19" s="3"/>
      <c r="N19" s="418"/>
      <c r="O19" s="3"/>
      <c r="P19" s="3"/>
      <c r="Q19" s="3"/>
      <c r="R19" s="418"/>
      <c r="S19" s="3"/>
      <c r="T19" s="56"/>
      <c r="U19" s="22" t="e">
        <f t="shared" si="3"/>
        <v>#DIV/0!</v>
      </c>
      <c r="V19" s="22" t="e">
        <f t="shared" si="4"/>
        <v>#DIV/0!</v>
      </c>
      <c r="W19" s="22" t="e">
        <f t="shared" si="5"/>
        <v>#DIV/0!</v>
      </c>
      <c r="X19" s="22" t="e">
        <f t="shared" si="6"/>
        <v>#DIV/0!</v>
      </c>
      <c r="Y19" s="22" t="e">
        <f t="shared" si="7"/>
        <v>#DIV/0!</v>
      </c>
      <c r="Z19" s="22" t="e">
        <f t="shared" si="8"/>
        <v>#DIV/0!</v>
      </c>
      <c r="AA19" s="22" t="e">
        <f t="shared" si="9"/>
        <v>#DIV/0!</v>
      </c>
      <c r="AB19" s="22" t="e">
        <f t="shared" si="10"/>
        <v>#DIV/0!</v>
      </c>
      <c r="AC19" s="22" t="e">
        <f t="shared" si="11"/>
        <v>#DIV/0!</v>
      </c>
      <c r="AD19" s="22" t="e">
        <f t="shared" si="12"/>
        <v>#DIV/0!</v>
      </c>
      <c r="AE19" s="22" t="e">
        <f t="shared" si="13"/>
        <v>#DIV/0!</v>
      </c>
      <c r="AF19" s="22" t="e">
        <f t="shared" si="14"/>
        <v>#DIV/0!</v>
      </c>
      <c r="AG19" s="22" t="e">
        <f t="shared" si="15"/>
        <v>#DIV/0!</v>
      </c>
      <c r="AH19" s="22" t="e">
        <f t="shared" si="16"/>
        <v>#DIV/0!</v>
      </c>
      <c r="AI19" s="22" t="e">
        <f t="shared" si="17"/>
        <v>#DIV/0!</v>
      </c>
      <c r="AJ19" s="22" t="e">
        <f t="shared" si="18"/>
        <v>#DIV/0!</v>
      </c>
      <c r="AK19" s="61"/>
    </row>
    <row r="20" spans="1:37">
      <c r="A20" s="35">
        <v>19</v>
      </c>
      <c r="B20" s="421">
        <v>19</v>
      </c>
      <c r="C20" s="63"/>
      <c r="D20" s="3"/>
      <c r="E20" s="3"/>
      <c r="F20" s="3"/>
      <c r="G20" s="3"/>
      <c r="H20" s="3"/>
      <c r="I20" s="3"/>
      <c r="J20" s="3"/>
      <c r="K20" s="3"/>
      <c r="L20" s="3"/>
      <c r="M20" s="3"/>
      <c r="N20" s="418"/>
      <c r="O20" s="3"/>
      <c r="P20" s="3"/>
      <c r="Q20" s="418"/>
      <c r="R20" s="418"/>
      <c r="S20" s="3"/>
      <c r="T20" s="56"/>
      <c r="U20" s="22" t="e">
        <f t="shared" si="3"/>
        <v>#DIV/0!</v>
      </c>
      <c r="V20" s="22" t="e">
        <f t="shared" si="4"/>
        <v>#DIV/0!</v>
      </c>
      <c r="W20" s="22" t="e">
        <f t="shared" si="5"/>
        <v>#DIV/0!</v>
      </c>
      <c r="X20" s="22" t="e">
        <f t="shared" si="6"/>
        <v>#DIV/0!</v>
      </c>
      <c r="Y20" s="22" t="e">
        <f t="shared" si="7"/>
        <v>#DIV/0!</v>
      </c>
      <c r="Z20" s="22" t="e">
        <f t="shared" si="8"/>
        <v>#DIV/0!</v>
      </c>
      <c r="AA20" s="22" t="e">
        <f t="shared" si="9"/>
        <v>#DIV/0!</v>
      </c>
      <c r="AB20" s="22" t="e">
        <f t="shared" si="10"/>
        <v>#DIV/0!</v>
      </c>
      <c r="AC20" s="22" t="e">
        <f t="shared" si="11"/>
        <v>#DIV/0!</v>
      </c>
      <c r="AD20" s="22" t="e">
        <f t="shared" si="12"/>
        <v>#DIV/0!</v>
      </c>
      <c r="AE20" s="22" t="e">
        <f t="shared" si="13"/>
        <v>#DIV/0!</v>
      </c>
      <c r="AF20" s="22" t="e">
        <f t="shared" si="14"/>
        <v>#DIV/0!</v>
      </c>
      <c r="AG20" s="22" t="e">
        <f t="shared" si="15"/>
        <v>#DIV/0!</v>
      </c>
      <c r="AH20" s="22" t="e">
        <f t="shared" si="16"/>
        <v>#DIV/0!</v>
      </c>
      <c r="AI20" s="22" t="e">
        <f t="shared" si="17"/>
        <v>#DIV/0!</v>
      </c>
      <c r="AJ20" s="22" t="e">
        <f t="shared" si="18"/>
        <v>#DIV/0!</v>
      </c>
      <c r="AK20" s="61"/>
    </row>
    <row r="21" spans="1:37">
      <c r="A21" s="35">
        <v>20</v>
      </c>
      <c r="B21" s="421">
        <v>20</v>
      </c>
      <c r="C21" s="63"/>
      <c r="D21" s="3"/>
      <c r="E21" s="3"/>
      <c r="F21" s="3"/>
      <c r="G21" s="3"/>
      <c r="H21" s="3"/>
      <c r="I21" s="3"/>
      <c r="J21" s="3"/>
      <c r="K21" s="3"/>
      <c r="L21" s="3"/>
      <c r="M21" s="3"/>
      <c r="N21" s="418"/>
      <c r="O21" s="3"/>
      <c r="P21" s="3"/>
      <c r="Q21" s="418"/>
      <c r="R21" s="418"/>
      <c r="S21" s="3"/>
      <c r="T21" s="56"/>
      <c r="U21" s="22" t="e">
        <f t="shared" si="3"/>
        <v>#DIV/0!</v>
      </c>
      <c r="V21" s="22" t="e">
        <f t="shared" si="4"/>
        <v>#DIV/0!</v>
      </c>
      <c r="W21" s="22" t="e">
        <f t="shared" si="5"/>
        <v>#DIV/0!</v>
      </c>
      <c r="X21" s="22" t="e">
        <f t="shared" si="6"/>
        <v>#DIV/0!</v>
      </c>
      <c r="Y21" s="22" t="e">
        <f t="shared" si="7"/>
        <v>#DIV/0!</v>
      </c>
      <c r="Z21" s="22" t="e">
        <f t="shared" si="8"/>
        <v>#DIV/0!</v>
      </c>
      <c r="AA21" s="22" t="e">
        <f t="shared" si="9"/>
        <v>#DIV/0!</v>
      </c>
      <c r="AB21" s="22" t="e">
        <f t="shared" si="10"/>
        <v>#DIV/0!</v>
      </c>
      <c r="AC21" s="22" t="e">
        <f t="shared" si="11"/>
        <v>#DIV/0!</v>
      </c>
      <c r="AD21" s="22" t="e">
        <f t="shared" si="12"/>
        <v>#DIV/0!</v>
      </c>
      <c r="AE21" s="22" t="e">
        <f t="shared" si="13"/>
        <v>#DIV/0!</v>
      </c>
      <c r="AF21" s="22" t="e">
        <f t="shared" si="14"/>
        <v>#DIV/0!</v>
      </c>
      <c r="AG21" s="22" t="e">
        <f t="shared" si="15"/>
        <v>#DIV/0!</v>
      </c>
      <c r="AH21" s="22" t="e">
        <f t="shared" si="16"/>
        <v>#DIV/0!</v>
      </c>
      <c r="AI21" s="22" t="e">
        <f t="shared" si="17"/>
        <v>#DIV/0!</v>
      </c>
      <c r="AJ21" s="22" t="e">
        <f t="shared" si="18"/>
        <v>#DIV/0!</v>
      </c>
      <c r="AK21" s="61"/>
    </row>
    <row r="22" spans="1:37">
      <c r="A22" s="63">
        <v>21</v>
      </c>
      <c r="B22" s="421">
        <v>21</v>
      </c>
      <c r="C22" s="63"/>
      <c r="D22" s="3"/>
      <c r="E22" s="3"/>
      <c r="F22" s="3"/>
      <c r="G22" s="3"/>
      <c r="H22" s="3"/>
      <c r="I22" s="3"/>
      <c r="J22" s="3"/>
      <c r="K22" s="3"/>
      <c r="L22" s="3"/>
      <c r="M22" s="3"/>
      <c r="N22" s="418"/>
      <c r="O22" s="3"/>
      <c r="P22" s="3"/>
      <c r="Q22" s="3"/>
      <c r="R22" s="418"/>
      <c r="S22" s="3"/>
      <c r="T22" s="56"/>
      <c r="U22" s="22" t="e">
        <f t="shared" si="3"/>
        <v>#DIV/0!</v>
      </c>
      <c r="V22" s="22" t="e">
        <f t="shared" si="4"/>
        <v>#DIV/0!</v>
      </c>
      <c r="W22" s="22" t="e">
        <f t="shared" si="5"/>
        <v>#DIV/0!</v>
      </c>
      <c r="X22" s="22" t="e">
        <f t="shared" si="6"/>
        <v>#DIV/0!</v>
      </c>
      <c r="Y22" s="22" t="e">
        <f t="shared" si="7"/>
        <v>#DIV/0!</v>
      </c>
      <c r="Z22" s="22" t="e">
        <f t="shared" si="8"/>
        <v>#DIV/0!</v>
      </c>
      <c r="AA22" s="22" t="e">
        <f t="shared" si="9"/>
        <v>#DIV/0!</v>
      </c>
      <c r="AB22" s="22" t="e">
        <f t="shared" si="10"/>
        <v>#DIV/0!</v>
      </c>
      <c r="AC22" s="22" t="e">
        <f t="shared" si="11"/>
        <v>#DIV/0!</v>
      </c>
      <c r="AD22" s="22" t="e">
        <f t="shared" si="12"/>
        <v>#DIV/0!</v>
      </c>
      <c r="AE22" s="22" t="e">
        <f t="shared" si="13"/>
        <v>#DIV/0!</v>
      </c>
      <c r="AF22" s="22" t="e">
        <f t="shared" si="14"/>
        <v>#DIV/0!</v>
      </c>
      <c r="AG22" s="22" t="e">
        <f t="shared" si="15"/>
        <v>#DIV/0!</v>
      </c>
      <c r="AH22" s="22" t="e">
        <f t="shared" si="16"/>
        <v>#DIV/0!</v>
      </c>
      <c r="AI22" s="22" t="e">
        <f t="shared" si="17"/>
        <v>#DIV/0!</v>
      </c>
      <c r="AJ22" s="22" t="e">
        <f t="shared" si="18"/>
        <v>#DIV/0!</v>
      </c>
      <c r="AK22" s="61"/>
    </row>
    <row r="23" spans="1:37">
      <c r="A23" s="35">
        <v>22</v>
      </c>
      <c r="B23" s="421">
        <v>22</v>
      </c>
      <c r="C23" s="63"/>
      <c r="D23" s="3"/>
      <c r="E23" s="3"/>
      <c r="F23" s="3"/>
      <c r="G23" s="3"/>
      <c r="H23" s="3"/>
      <c r="I23" s="3"/>
      <c r="J23" s="3"/>
      <c r="K23" s="3"/>
      <c r="L23" s="3"/>
      <c r="M23" s="3"/>
      <c r="N23" s="418"/>
      <c r="O23" s="3"/>
      <c r="P23" s="3"/>
      <c r="Q23" s="3"/>
      <c r="R23" s="418"/>
      <c r="S23" s="3"/>
      <c r="T23" s="56"/>
      <c r="U23" s="22" t="e">
        <f t="shared" si="3"/>
        <v>#DIV/0!</v>
      </c>
      <c r="V23" s="22" t="e">
        <f t="shared" si="4"/>
        <v>#DIV/0!</v>
      </c>
      <c r="W23" s="22" t="e">
        <f t="shared" si="5"/>
        <v>#DIV/0!</v>
      </c>
      <c r="X23" s="22" t="e">
        <f t="shared" si="6"/>
        <v>#DIV/0!</v>
      </c>
      <c r="Y23" s="22" t="e">
        <f t="shared" si="7"/>
        <v>#DIV/0!</v>
      </c>
      <c r="Z23" s="22" t="e">
        <f t="shared" si="8"/>
        <v>#DIV/0!</v>
      </c>
      <c r="AA23" s="22" t="e">
        <f t="shared" si="9"/>
        <v>#DIV/0!</v>
      </c>
      <c r="AB23" s="22" t="e">
        <f t="shared" si="10"/>
        <v>#DIV/0!</v>
      </c>
      <c r="AC23" s="22" t="e">
        <f t="shared" si="11"/>
        <v>#DIV/0!</v>
      </c>
      <c r="AD23" s="22" t="e">
        <f t="shared" si="12"/>
        <v>#DIV/0!</v>
      </c>
      <c r="AE23" s="22" t="e">
        <f t="shared" si="13"/>
        <v>#DIV/0!</v>
      </c>
      <c r="AF23" s="22" t="e">
        <f t="shared" si="14"/>
        <v>#DIV/0!</v>
      </c>
      <c r="AG23" s="22" t="e">
        <f t="shared" si="15"/>
        <v>#DIV/0!</v>
      </c>
      <c r="AH23" s="22" t="e">
        <f t="shared" si="16"/>
        <v>#DIV/0!</v>
      </c>
      <c r="AI23" s="22" t="e">
        <f t="shared" si="17"/>
        <v>#DIV/0!</v>
      </c>
      <c r="AJ23" s="22" t="e">
        <f t="shared" si="18"/>
        <v>#DIV/0!</v>
      </c>
      <c r="AK23" s="61"/>
    </row>
    <row r="24" spans="1:37">
      <c r="A24" s="35">
        <v>23</v>
      </c>
      <c r="B24" s="35">
        <v>23</v>
      </c>
      <c r="C24" s="63"/>
      <c r="D24" s="3"/>
      <c r="E24" s="3"/>
      <c r="F24" s="3"/>
      <c r="G24" s="3"/>
      <c r="H24" s="3"/>
      <c r="I24" s="3"/>
      <c r="J24" s="3"/>
      <c r="K24" s="3"/>
      <c r="L24" s="3"/>
      <c r="M24" s="3"/>
      <c r="N24" s="418"/>
      <c r="O24" s="3"/>
      <c r="P24" s="3"/>
      <c r="Q24" s="3"/>
      <c r="R24" s="3"/>
      <c r="S24" s="3"/>
      <c r="T24" s="56"/>
      <c r="U24" s="22" t="e">
        <f t="shared" si="3"/>
        <v>#DIV/0!</v>
      </c>
      <c r="V24" s="22" t="e">
        <f t="shared" si="4"/>
        <v>#DIV/0!</v>
      </c>
      <c r="W24" s="22" t="e">
        <f t="shared" si="5"/>
        <v>#DIV/0!</v>
      </c>
      <c r="X24" s="22" t="e">
        <f t="shared" si="6"/>
        <v>#DIV/0!</v>
      </c>
      <c r="Y24" s="22" t="e">
        <f t="shared" si="7"/>
        <v>#DIV/0!</v>
      </c>
      <c r="Z24" s="22" t="e">
        <f t="shared" si="8"/>
        <v>#DIV/0!</v>
      </c>
      <c r="AA24" s="22" t="e">
        <f t="shared" si="9"/>
        <v>#DIV/0!</v>
      </c>
      <c r="AB24" s="22" t="e">
        <f t="shared" si="10"/>
        <v>#DIV/0!</v>
      </c>
      <c r="AC24" s="22" t="e">
        <f t="shared" si="11"/>
        <v>#DIV/0!</v>
      </c>
      <c r="AD24" s="22" t="e">
        <f t="shared" si="12"/>
        <v>#DIV/0!</v>
      </c>
      <c r="AE24" s="22" t="e">
        <f t="shared" si="13"/>
        <v>#DIV/0!</v>
      </c>
      <c r="AF24" s="22" t="e">
        <f t="shared" si="14"/>
        <v>#DIV/0!</v>
      </c>
      <c r="AG24" s="22" t="e">
        <f t="shared" si="15"/>
        <v>#DIV/0!</v>
      </c>
      <c r="AH24" s="22" t="e">
        <f t="shared" si="16"/>
        <v>#DIV/0!</v>
      </c>
      <c r="AI24" s="22" t="e">
        <f t="shared" si="17"/>
        <v>#DIV/0!</v>
      </c>
      <c r="AJ24" s="22" t="e">
        <f t="shared" si="18"/>
        <v>#DIV/0!</v>
      </c>
      <c r="AK24" s="61"/>
    </row>
    <row r="25" spans="1:37">
      <c r="A25" s="35">
        <v>24</v>
      </c>
      <c r="B25" s="35">
        <v>24</v>
      </c>
      <c r="C25" s="3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56"/>
      <c r="U25" s="22" t="e">
        <f t="shared" si="3"/>
        <v>#DIV/0!</v>
      </c>
      <c r="V25" s="22" t="e">
        <f t="shared" si="4"/>
        <v>#DIV/0!</v>
      </c>
      <c r="W25" s="22" t="e">
        <f t="shared" si="5"/>
        <v>#DIV/0!</v>
      </c>
      <c r="X25" s="22" t="e">
        <f t="shared" si="6"/>
        <v>#DIV/0!</v>
      </c>
      <c r="Y25" s="22" t="e">
        <f t="shared" si="7"/>
        <v>#DIV/0!</v>
      </c>
      <c r="Z25" s="22" t="e">
        <f t="shared" si="8"/>
        <v>#DIV/0!</v>
      </c>
      <c r="AA25" s="22" t="e">
        <f t="shared" si="9"/>
        <v>#DIV/0!</v>
      </c>
      <c r="AB25" s="22" t="e">
        <f t="shared" si="10"/>
        <v>#DIV/0!</v>
      </c>
      <c r="AC25" s="22" t="e">
        <f t="shared" si="11"/>
        <v>#DIV/0!</v>
      </c>
      <c r="AD25" s="22" t="e">
        <f t="shared" si="12"/>
        <v>#DIV/0!</v>
      </c>
      <c r="AE25" s="22" t="e">
        <f t="shared" si="13"/>
        <v>#DIV/0!</v>
      </c>
      <c r="AF25" s="22" t="e">
        <f t="shared" si="14"/>
        <v>#DIV/0!</v>
      </c>
      <c r="AG25" s="22" t="e">
        <f t="shared" si="15"/>
        <v>#DIV/0!</v>
      </c>
      <c r="AH25" s="22" t="e">
        <f t="shared" si="16"/>
        <v>#DIV/0!</v>
      </c>
      <c r="AI25" s="22" t="e">
        <f t="shared" si="17"/>
        <v>#DIV/0!</v>
      </c>
      <c r="AJ25" s="22" t="e">
        <f t="shared" si="18"/>
        <v>#DIV/0!</v>
      </c>
      <c r="AK25" s="61"/>
    </row>
    <row r="26" spans="1:37">
      <c r="A26" s="35">
        <v>25</v>
      </c>
      <c r="B26" s="35">
        <v>25</v>
      </c>
      <c r="C26" s="3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56"/>
      <c r="U26" s="22" t="e">
        <f t="shared" si="3"/>
        <v>#DIV/0!</v>
      </c>
      <c r="V26" s="22" t="e">
        <f t="shared" si="4"/>
        <v>#DIV/0!</v>
      </c>
      <c r="W26" s="22" t="e">
        <f t="shared" si="5"/>
        <v>#DIV/0!</v>
      </c>
      <c r="X26" s="22" t="e">
        <f t="shared" si="6"/>
        <v>#DIV/0!</v>
      </c>
      <c r="Y26" s="22" t="e">
        <f t="shared" si="7"/>
        <v>#DIV/0!</v>
      </c>
      <c r="Z26" s="22" t="e">
        <f t="shared" si="8"/>
        <v>#DIV/0!</v>
      </c>
      <c r="AA26" s="22" t="e">
        <f t="shared" si="9"/>
        <v>#DIV/0!</v>
      </c>
      <c r="AB26" s="22" t="e">
        <f t="shared" si="10"/>
        <v>#DIV/0!</v>
      </c>
      <c r="AC26" s="22" t="e">
        <f t="shared" si="11"/>
        <v>#DIV/0!</v>
      </c>
      <c r="AD26" s="22" t="e">
        <f t="shared" si="12"/>
        <v>#DIV/0!</v>
      </c>
      <c r="AE26" s="22" t="e">
        <f t="shared" si="13"/>
        <v>#DIV/0!</v>
      </c>
      <c r="AF26" s="22" t="e">
        <f t="shared" si="14"/>
        <v>#DIV/0!</v>
      </c>
      <c r="AG26" s="22" t="e">
        <f t="shared" si="15"/>
        <v>#DIV/0!</v>
      </c>
      <c r="AH26" s="22" t="e">
        <f t="shared" si="16"/>
        <v>#DIV/0!</v>
      </c>
      <c r="AI26" s="22" t="e">
        <f t="shared" si="17"/>
        <v>#DIV/0!</v>
      </c>
      <c r="AJ26" s="22" t="e">
        <f t="shared" si="18"/>
        <v>#DIV/0!</v>
      </c>
      <c r="AK26" s="61"/>
    </row>
    <row r="27" spans="1:37">
      <c r="A27" s="35">
        <v>26</v>
      </c>
      <c r="B27" s="35">
        <v>26</v>
      </c>
      <c r="C27" s="3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56"/>
      <c r="U27" s="22" t="e">
        <f t="shared" si="3"/>
        <v>#DIV/0!</v>
      </c>
      <c r="V27" s="22" t="e">
        <f t="shared" si="4"/>
        <v>#DIV/0!</v>
      </c>
      <c r="W27" s="22" t="e">
        <f t="shared" si="5"/>
        <v>#DIV/0!</v>
      </c>
      <c r="X27" s="22" t="e">
        <f t="shared" si="6"/>
        <v>#DIV/0!</v>
      </c>
      <c r="Y27" s="22" t="e">
        <f t="shared" si="7"/>
        <v>#DIV/0!</v>
      </c>
      <c r="Z27" s="22" t="e">
        <f t="shared" si="8"/>
        <v>#DIV/0!</v>
      </c>
      <c r="AA27" s="22" t="e">
        <f t="shared" si="9"/>
        <v>#DIV/0!</v>
      </c>
      <c r="AB27" s="22" t="e">
        <f t="shared" si="10"/>
        <v>#DIV/0!</v>
      </c>
      <c r="AC27" s="22" t="e">
        <f t="shared" si="11"/>
        <v>#DIV/0!</v>
      </c>
      <c r="AD27" s="22" t="e">
        <f t="shared" si="12"/>
        <v>#DIV/0!</v>
      </c>
      <c r="AE27" s="22" t="e">
        <f t="shared" si="13"/>
        <v>#DIV/0!</v>
      </c>
      <c r="AF27" s="22" t="e">
        <f t="shared" si="14"/>
        <v>#DIV/0!</v>
      </c>
      <c r="AG27" s="22" t="e">
        <f t="shared" si="15"/>
        <v>#DIV/0!</v>
      </c>
      <c r="AH27" s="22" t="e">
        <f t="shared" si="16"/>
        <v>#DIV/0!</v>
      </c>
      <c r="AI27" s="22" t="e">
        <f t="shared" si="17"/>
        <v>#DIV/0!</v>
      </c>
      <c r="AJ27" s="22" t="e">
        <f t="shared" si="18"/>
        <v>#DIV/0!</v>
      </c>
      <c r="AK27" s="61"/>
    </row>
  </sheetData>
  <sortState ref="A2:S19">
    <sortCondition ref="B2:B19"/>
  </sortState>
  <dataValidations count="1">
    <dataValidation type="list" allowBlank="1" showInputMessage="1" showErrorMessage="1" sqref="C2:C1048576">
      <formula1>$AM$2:$AM$9</formula1>
    </dataValidation>
  </dataValidations>
  <pageMargins left="0.7" right="0.7" top="0.75" bottom="0.75" header="0.3" footer="0.3"/>
  <pageSetup paperSize="9"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2:AK138"/>
  <sheetViews>
    <sheetView workbookViewId="0">
      <selection activeCell="V18" sqref="V18:AK72"/>
    </sheetView>
  </sheetViews>
  <sheetFormatPr defaultRowHeight="14.4"/>
  <cols>
    <col min="2" max="2" width="19.88671875" style="447" customWidth="1"/>
    <col min="3" max="3" width="9.44140625" bestFit="1" customWidth="1"/>
    <col min="4" max="5" width="5.109375" bestFit="1" customWidth="1"/>
    <col min="6" max="6" width="3.88671875" customWidth="1"/>
    <col min="7" max="7" width="5.5546875" customWidth="1"/>
    <col min="8" max="8" width="5.6640625" customWidth="1"/>
    <col min="9" max="9" width="5.109375" bestFit="1" customWidth="1"/>
    <col min="10" max="10" width="4.33203125" customWidth="1"/>
    <col min="11" max="11" width="4.44140625" bestFit="1" customWidth="1"/>
    <col min="12" max="12" width="4.88671875" customWidth="1"/>
    <col min="13" max="18" width="3.88671875" customWidth="1"/>
    <col min="19" max="19" width="6.5546875" customWidth="1"/>
    <col min="20" max="20" width="6.88671875" customWidth="1"/>
    <col min="21" max="21" width="21.109375" customWidth="1"/>
    <col min="22" max="22" width="5.44140625" customWidth="1"/>
    <col min="23" max="27" width="5.109375" bestFit="1" customWidth="1"/>
    <col min="28" max="28" width="3.88671875" bestFit="1" customWidth="1"/>
    <col min="29" max="29" width="4.109375" bestFit="1" customWidth="1"/>
    <col min="30" max="30" width="5.109375" bestFit="1" customWidth="1"/>
    <col min="31" max="31" width="4.109375" bestFit="1" customWidth="1"/>
    <col min="32" max="32" width="4" customWidth="1"/>
    <col min="33" max="36" width="3.88671875" bestFit="1" customWidth="1"/>
    <col min="37" max="37" width="5.5546875" customWidth="1"/>
  </cols>
  <sheetData>
    <row r="2" spans="1:37" ht="61.5" customHeight="1">
      <c r="A2" s="35"/>
      <c r="B2" s="555" t="s">
        <v>311</v>
      </c>
      <c r="C2" s="35" t="s">
        <v>310</v>
      </c>
      <c r="D2" s="59" t="str">
        <f>'boc xe'!U1</f>
        <v>bao 3dm3</v>
      </c>
      <c r="E2" s="59" t="str">
        <f>'boc xe'!V1</f>
        <v>bao 5dm3</v>
      </c>
      <c r="F2" s="59" t="str">
        <f>'boc xe'!W1</f>
        <v>bao 10dm3</v>
      </c>
      <c r="G2" s="59" t="str">
        <f>'boc xe'!X1</f>
        <v>bao 20dm3</v>
      </c>
      <c r="H2" s="59" t="str">
        <f>'boc xe'!Y1</f>
        <v>bao 40dm3</v>
      </c>
      <c r="I2" s="59" t="str">
        <f>'boc xe'!Z1</f>
        <v>bao 50dm3</v>
      </c>
      <c r="J2" s="59" t="str">
        <f>'boc xe'!AA1</f>
        <v>bao 100dm3</v>
      </c>
      <c r="K2" s="59" t="str">
        <f>'boc xe'!AB1</f>
        <v>bao 0,2kg</v>
      </c>
      <c r="L2" s="59" t="str">
        <f>'boc xe'!AC1</f>
        <v>bao 0,5 kg</v>
      </c>
      <c r="M2" s="59" t="str">
        <f>'boc xe'!AD1</f>
        <v>bao 01kg</v>
      </c>
      <c r="N2" s="59" t="str">
        <f>'boc xe'!AE1</f>
        <v>bao 10kg</v>
      </c>
      <c r="O2" s="59" t="str">
        <f>'boc xe'!AF1</f>
        <v>bao 25kg</v>
      </c>
      <c r="P2" s="59" t="str">
        <f>'boc xe'!AG1</f>
        <v>bao 35kg</v>
      </c>
      <c r="Q2" s="59" t="str">
        <f>'boc xe'!AH1</f>
        <v>bao 40kg</v>
      </c>
      <c r="R2" s="59" t="str">
        <f>'boc xe'!AI1</f>
        <v>bao 50kg</v>
      </c>
      <c r="S2" s="59" t="str">
        <f>'boc xe'!AJ1</f>
        <v>HÀNG LINH TINH</v>
      </c>
      <c r="U2" s="68"/>
      <c r="V2" s="59" t="str">
        <f t="shared" ref="V2:AK2" si="0">D2</f>
        <v>bao 3dm3</v>
      </c>
      <c r="W2" s="59" t="str">
        <f t="shared" si="0"/>
        <v>bao 5dm3</v>
      </c>
      <c r="X2" s="59" t="str">
        <f t="shared" si="0"/>
        <v>bao 10dm3</v>
      </c>
      <c r="Y2" s="59" t="str">
        <f t="shared" si="0"/>
        <v>bao 20dm3</v>
      </c>
      <c r="Z2" s="59" t="str">
        <f t="shared" si="0"/>
        <v>bao 40dm3</v>
      </c>
      <c r="AA2" s="59" t="str">
        <f t="shared" si="0"/>
        <v>bao 50dm3</v>
      </c>
      <c r="AB2" s="59" t="str">
        <f t="shared" si="0"/>
        <v>bao 100dm3</v>
      </c>
      <c r="AC2" s="59" t="str">
        <f t="shared" si="0"/>
        <v>bao 0,2kg</v>
      </c>
      <c r="AD2" s="59" t="str">
        <f t="shared" si="0"/>
        <v>bao 0,5 kg</v>
      </c>
      <c r="AE2" s="59" t="str">
        <f t="shared" si="0"/>
        <v>bao 01kg</v>
      </c>
      <c r="AF2" s="59" t="str">
        <f t="shared" si="0"/>
        <v>bao 10kg</v>
      </c>
      <c r="AG2" s="59" t="str">
        <f t="shared" si="0"/>
        <v>bao 25kg</v>
      </c>
      <c r="AH2" s="59" t="str">
        <f t="shared" si="0"/>
        <v>bao 35kg</v>
      </c>
      <c r="AI2" s="59" t="str">
        <f t="shared" si="0"/>
        <v>bao 40kg</v>
      </c>
      <c r="AJ2" s="59" t="str">
        <f t="shared" si="0"/>
        <v>bao 50kg</v>
      </c>
      <c r="AK2" s="59" t="str">
        <f t="shared" si="0"/>
        <v>HÀNG LINH TINH</v>
      </c>
    </row>
    <row r="3" spans="1:37">
      <c r="A3" s="35">
        <v>1</v>
      </c>
      <c r="B3" s="546" t="s">
        <v>617</v>
      </c>
      <c r="C3" s="35">
        <v>1</v>
      </c>
      <c r="D3" s="22">
        <f>SUMIFS('boc xe'!U$2:U$27,'boc xe'!$B$2:$B$27,'chia CN boc xe'!$C3)</f>
        <v>0</v>
      </c>
      <c r="E3" s="419">
        <f>SUMIFS('boc xe'!V$2:V$27,'boc xe'!$B$2:$B$27,'chia CN boc xe'!$C3)</f>
        <v>0</v>
      </c>
      <c r="F3" s="419">
        <f>SUMIFS('boc xe'!W$2:W$27,'boc xe'!$B$2:$B$27,'chia CN boc xe'!$C3)</f>
        <v>0</v>
      </c>
      <c r="G3" s="419">
        <f>SUMIFS('boc xe'!X$2:X$27,'boc xe'!$B$2:$B$27,'chia CN boc xe'!$C3)</f>
        <v>5</v>
      </c>
      <c r="H3" s="419">
        <f>SUMIFS('boc xe'!Y$2:Y$27,'boc xe'!$B$2:$B$27,'chia CN boc xe'!$C3)</f>
        <v>0</v>
      </c>
      <c r="I3" s="419">
        <f>SUMIFS('boc xe'!Z$2:Z$27,'boc xe'!$B$2:$B$27,'chia CN boc xe'!$C3)</f>
        <v>36.666666666666664</v>
      </c>
      <c r="J3" s="419">
        <f>SUMIFS('boc xe'!AA$2:AA$27,'boc xe'!$B$2:$B$27,'chia CN boc xe'!$C3)</f>
        <v>0</v>
      </c>
      <c r="K3" s="419">
        <f>SUMIFS('boc xe'!AB$2:AB$27,'boc xe'!$B$2:$B$27,'chia CN boc xe'!$C3)</f>
        <v>0</v>
      </c>
      <c r="L3" s="419">
        <f>SUMIFS('boc xe'!AC$2:AC$27,'boc xe'!$B$2:$B$27,'chia CN boc xe'!$C3)</f>
        <v>0</v>
      </c>
      <c r="M3" s="419">
        <f>SUMIFS('boc xe'!AD$2:AD$27,'boc xe'!$B$2:$B$27,'chia CN boc xe'!$C3)</f>
        <v>0</v>
      </c>
      <c r="N3" s="419">
        <f>SUMIFS('boc xe'!AE$2:AE$27,'boc xe'!$B$2:$B$27,'chia CN boc xe'!$C3)</f>
        <v>16.666666666666668</v>
      </c>
      <c r="O3" s="419">
        <f>SUMIFS('boc xe'!AF$2:AF$27,'boc xe'!$B$2:$B$27,'chia CN boc xe'!$C3)</f>
        <v>0</v>
      </c>
      <c r="P3" s="419">
        <f>SUMIFS('boc xe'!AG$2:AG$27,'boc xe'!$B$2:$B$27,'chia CN boc xe'!$C3)</f>
        <v>0</v>
      </c>
      <c r="Q3" s="419">
        <f>SUMIFS('boc xe'!AH$2:AH$27,'boc xe'!$B$2:$B$27,'chia CN boc xe'!$C3)</f>
        <v>4.166666666666667</v>
      </c>
      <c r="R3" s="419">
        <f>SUMIFS('boc xe'!AI$2:AI$27,'boc xe'!$B$2:$B$27,'chia CN boc xe'!$C3)</f>
        <v>0</v>
      </c>
      <c r="S3" s="419">
        <f>SUMIFS('boc xe'!AJ$2:AJ$27,'boc xe'!$B$2:$B$27,'chia CN boc xe'!$C3)</f>
        <v>0</v>
      </c>
      <c r="U3" s="67" t="e">
        <f>'BANG LUONG 1'!#REF!</f>
        <v>#REF!</v>
      </c>
      <c r="V3" s="69">
        <f t="shared" ref="V3:V34" si="1">SUMIF($B$3:$B$131,$U3,D$3:D$131)</f>
        <v>0</v>
      </c>
      <c r="W3" s="69">
        <f t="shared" ref="W3:W34" si="2">SUMIF($B$3:$B$131,$U3,E$3:E$131)</f>
        <v>0</v>
      </c>
      <c r="X3" s="69">
        <f t="shared" ref="X3:X34" si="3">SUMIF($B$3:$B$131,$U3,F$3:F$131)</f>
        <v>0</v>
      </c>
      <c r="Y3" s="69">
        <f t="shared" ref="Y3:Y34" si="4">SUMIF($B$3:$B$131,$U3,G$3:G$131)</f>
        <v>0</v>
      </c>
      <c r="Z3" s="69">
        <f t="shared" ref="Z3:Z34" si="5">SUMIF($B$3:$B$131,$U3,H$3:H$131)</f>
        <v>0</v>
      </c>
      <c r="AA3" s="69">
        <f t="shared" ref="AA3:AA34" si="6">SUMIF($B$3:$B$131,$U3,I$3:I$131)</f>
        <v>0</v>
      </c>
      <c r="AB3" s="69">
        <f t="shared" ref="AB3:AB34" si="7">SUMIF($B$3:$B$131,$U3,J$3:J$131)</f>
        <v>0</v>
      </c>
      <c r="AC3" s="69">
        <f t="shared" ref="AC3:AC34" si="8">SUMIF($B$3:$B$131,$U3,K$3:K$131)</f>
        <v>0</v>
      </c>
      <c r="AD3" s="69">
        <f t="shared" ref="AD3:AD34" si="9">SUMIF($B$3:$B$131,$U3,L$3:L$131)</f>
        <v>0</v>
      </c>
      <c r="AE3" s="69">
        <f t="shared" ref="AE3:AE34" si="10">SUMIF($B$3:$B$131,$U3,M$3:M$131)</f>
        <v>0</v>
      </c>
      <c r="AF3" s="69">
        <f t="shared" ref="AF3:AF34" si="11">SUMIF($B$3:$B$131,$U3,N$3:N$131)</f>
        <v>0</v>
      </c>
      <c r="AG3" s="69">
        <f t="shared" ref="AG3:AG34" si="12">SUMIF($B$3:$B$131,$U3,O$3:O$131)</f>
        <v>0</v>
      </c>
      <c r="AH3" s="69">
        <f t="shared" ref="AH3:AH34" si="13">SUMIF($B$3:$B$131,$U3,P$3:P$131)</f>
        <v>0</v>
      </c>
      <c r="AI3" s="69">
        <f t="shared" ref="AI3:AI34" si="14">SUMIF($B$3:$B$131,$U3,Q$3:Q$131)</f>
        <v>0</v>
      </c>
      <c r="AJ3" s="69">
        <f t="shared" ref="AJ3:AJ34" si="15">SUMIF($B$3:$B$131,$U3,R$3:R$131)</f>
        <v>0</v>
      </c>
      <c r="AK3" s="69">
        <f t="shared" ref="AK3:AK34" si="16">SUMIF($B$3:$B$131,$U3,S$3:S$131)</f>
        <v>0</v>
      </c>
    </row>
    <row r="4" spans="1:37">
      <c r="A4" s="35">
        <v>2</v>
      </c>
      <c r="B4" s="546" t="s">
        <v>618</v>
      </c>
      <c r="C4" s="421">
        <v>1</v>
      </c>
      <c r="D4" s="419">
        <f>SUMIFS('boc xe'!U$2:U$27,'boc xe'!$B$2:$B$27,'chia CN boc xe'!$C4)</f>
        <v>0</v>
      </c>
      <c r="E4" s="419">
        <f>SUMIFS('boc xe'!V$2:V$27,'boc xe'!$B$2:$B$27,'chia CN boc xe'!$C4)</f>
        <v>0</v>
      </c>
      <c r="F4" s="419">
        <f>SUMIFS('boc xe'!W$2:W$27,'boc xe'!$B$2:$B$27,'chia CN boc xe'!$C4)</f>
        <v>0</v>
      </c>
      <c r="G4" s="419">
        <f>SUMIFS('boc xe'!X$2:X$27,'boc xe'!$B$2:$B$27,'chia CN boc xe'!$C4)</f>
        <v>5</v>
      </c>
      <c r="H4" s="419">
        <f>SUMIFS('boc xe'!Y$2:Y$27,'boc xe'!$B$2:$B$27,'chia CN boc xe'!$C4)</f>
        <v>0</v>
      </c>
      <c r="I4" s="419">
        <f>SUMIFS('boc xe'!Z$2:Z$27,'boc xe'!$B$2:$B$27,'chia CN boc xe'!$C4)</f>
        <v>36.666666666666664</v>
      </c>
      <c r="J4" s="419">
        <f>SUMIFS('boc xe'!AA$2:AA$27,'boc xe'!$B$2:$B$27,'chia CN boc xe'!$C4)</f>
        <v>0</v>
      </c>
      <c r="K4" s="419">
        <f>SUMIFS('boc xe'!AB$2:AB$27,'boc xe'!$B$2:$B$27,'chia CN boc xe'!$C4)</f>
        <v>0</v>
      </c>
      <c r="L4" s="419">
        <f>SUMIFS('boc xe'!AC$2:AC$27,'boc xe'!$B$2:$B$27,'chia CN boc xe'!$C4)</f>
        <v>0</v>
      </c>
      <c r="M4" s="419">
        <f>SUMIFS('boc xe'!AD$2:AD$27,'boc xe'!$B$2:$B$27,'chia CN boc xe'!$C4)</f>
        <v>0</v>
      </c>
      <c r="N4" s="419">
        <f>SUMIFS('boc xe'!AE$2:AE$27,'boc xe'!$B$2:$B$27,'chia CN boc xe'!$C4)</f>
        <v>16.666666666666668</v>
      </c>
      <c r="O4" s="419">
        <f>SUMIFS('boc xe'!AF$2:AF$27,'boc xe'!$B$2:$B$27,'chia CN boc xe'!$C4)</f>
        <v>0</v>
      </c>
      <c r="P4" s="419">
        <f>SUMIFS('boc xe'!AG$2:AG$27,'boc xe'!$B$2:$B$27,'chia CN boc xe'!$C4)</f>
        <v>0</v>
      </c>
      <c r="Q4" s="419">
        <f>SUMIFS('boc xe'!AH$2:AH$27,'boc xe'!$B$2:$B$27,'chia CN boc xe'!$C4)</f>
        <v>4.166666666666667</v>
      </c>
      <c r="R4" s="419">
        <f>SUMIFS('boc xe'!AI$2:AI$27,'boc xe'!$B$2:$B$27,'chia CN boc xe'!$C4)</f>
        <v>0</v>
      </c>
      <c r="S4" s="419">
        <f>SUMIFS('boc xe'!AJ$2:AJ$27,'boc xe'!$B$2:$B$27,'chia CN boc xe'!$C4)</f>
        <v>0</v>
      </c>
      <c r="U4" s="67" t="e">
        <f>'BANG LUONG 1'!#REF!</f>
        <v>#REF!</v>
      </c>
      <c r="V4" s="69">
        <f t="shared" si="1"/>
        <v>0</v>
      </c>
      <c r="W4" s="69">
        <f t="shared" si="2"/>
        <v>0</v>
      </c>
      <c r="X4" s="69">
        <f t="shared" si="3"/>
        <v>0</v>
      </c>
      <c r="Y4" s="69">
        <f t="shared" si="4"/>
        <v>0</v>
      </c>
      <c r="Z4" s="69">
        <f t="shared" si="5"/>
        <v>0</v>
      </c>
      <c r="AA4" s="69">
        <f t="shared" si="6"/>
        <v>0</v>
      </c>
      <c r="AB4" s="69">
        <f t="shared" si="7"/>
        <v>0</v>
      </c>
      <c r="AC4" s="69">
        <f t="shared" si="8"/>
        <v>0</v>
      </c>
      <c r="AD4" s="69">
        <f t="shared" si="9"/>
        <v>0</v>
      </c>
      <c r="AE4" s="69">
        <f t="shared" si="10"/>
        <v>0</v>
      </c>
      <c r="AF4" s="69">
        <f t="shared" si="11"/>
        <v>0</v>
      </c>
      <c r="AG4" s="69">
        <f t="shared" si="12"/>
        <v>0</v>
      </c>
      <c r="AH4" s="69">
        <f t="shared" si="13"/>
        <v>0</v>
      </c>
      <c r="AI4" s="69">
        <f t="shared" si="14"/>
        <v>0</v>
      </c>
      <c r="AJ4" s="69">
        <f t="shared" si="15"/>
        <v>0</v>
      </c>
      <c r="AK4" s="69">
        <f t="shared" si="16"/>
        <v>0</v>
      </c>
    </row>
    <row r="5" spans="1:37">
      <c r="A5" s="35">
        <v>3</v>
      </c>
      <c r="B5" s="546" t="s">
        <v>620</v>
      </c>
      <c r="C5" s="421">
        <v>1</v>
      </c>
      <c r="D5" s="419">
        <f>SUMIFS('boc xe'!U$2:U$27,'boc xe'!$B$2:$B$27,'chia CN boc xe'!$C5)</f>
        <v>0</v>
      </c>
      <c r="E5" s="419">
        <f>SUMIFS('boc xe'!V$2:V$27,'boc xe'!$B$2:$B$27,'chia CN boc xe'!$C5)</f>
        <v>0</v>
      </c>
      <c r="F5" s="419">
        <f>SUMIFS('boc xe'!W$2:W$27,'boc xe'!$B$2:$B$27,'chia CN boc xe'!$C5)</f>
        <v>0</v>
      </c>
      <c r="G5" s="419">
        <f>SUMIFS('boc xe'!X$2:X$27,'boc xe'!$B$2:$B$27,'chia CN boc xe'!$C5)</f>
        <v>5</v>
      </c>
      <c r="H5" s="419">
        <f>SUMIFS('boc xe'!Y$2:Y$27,'boc xe'!$B$2:$B$27,'chia CN boc xe'!$C5)</f>
        <v>0</v>
      </c>
      <c r="I5" s="419">
        <f>SUMIFS('boc xe'!Z$2:Z$27,'boc xe'!$B$2:$B$27,'chia CN boc xe'!$C5)</f>
        <v>36.666666666666664</v>
      </c>
      <c r="J5" s="419">
        <f>SUMIFS('boc xe'!AA$2:AA$27,'boc xe'!$B$2:$B$27,'chia CN boc xe'!$C5)</f>
        <v>0</v>
      </c>
      <c r="K5" s="419">
        <f>SUMIFS('boc xe'!AB$2:AB$27,'boc xe'!$B$2:$B$27,'chia CN boc xe'!$C5)</f>
        <v>0</v>
      </c>
      <c r="L5" s="419">
        <f>SUMIFS('boc xe'!AC$2:AC$27,'boc xe'!$B$2:$B$27,'chia CN boc xe'!$C5)</f>
        <v>0</v>
      </c>
      <c r="M5" s="419">
        <f>SUMIFS('boc xe'!AD$2:AD$27,'boc xe'!$B$2:$B$27,'chia CN boc xe'!$C5)</f>
        <v>0</v>
      </c>
      <c r="N5" s="419">
        <f>SUMIFS('boc xe'!AE$2:AE$27,'boc xe'!$B$2:$B$27,'chia CN boc xe'!$C5)</f>
        <v>16.666666666666668</v>
      </c>
      <c r="O5" s="419">
        <f>SUMIFS('boc xe'!AF$2:AF$27,'boc xe'!$B$2:$B$27,'chia CN boc xe'!$C5)</f>
        <v>0</v>
      </c>
      <c r="P5" s="419">
        <f>SUMIFS('boc xe'!AG$2:AG$27,'boc xe'!$B$2:$B$27,'chia CN boc xe'!$C5)</f>
        <v>0</v>
      </c>
      <c r="Q5" s="419">
        <f>SUMIFS('boc xe'!AH$2:AH$27,'boc xe'!$B$2:$B$27,'chia CN boc xe'!$C5)</f>
        <v>4.166666666666667</v>
      </c>
      <c r="R5" s="419">
        <f>SUMIFS('boc xe'!AI$2:AI$27,'boc xe'!$B$2:$B$27,'chia CN boc xe'!$C5)</f>
        <v>0</v>
      </c>
      <c r="S5" s="419">
        <f>SUMIFS('boc xe'!AJ$2:AJ$27,'boc xe'!$B$2:$B$27,'chia CN boc xe'!$C5)</f>
        <v>0</v>
      </c>
      <c r="U5" s="67" t="e">
        <f>'BANG LUONG 1'!#REF!</f>
        <v>#REF!</v>
      </c>
      <c r="V5" s="69">
        <f t="shared" si="1"/>
        <v>0</v>
      </c>
      <c r="W5" s="69">
        <f t="shared" si="2"/>
        <v>0</v>
      </c>
      <c r="X5" s="69">
        <f t="shared" si="3"/>
        <v>0</v>
      </c>
      <c r="Y5" s="69">
        <f t="shared" si="4"/>
        <v>0</v>
      </c>
      <c r="Z5" s="69">
        <f t="shared" si="5"/>
        <v>0</v>
      </c>
      <c r="AA5" s="69">
        <f t="shared" si="6"/>
        <v>0</v>
      </c>
      <c r="AB5" s="69">
        <f t="shared" si="7"/>
        <v>0</v>
      </c>
      <c r="AC5" s="69">
        <f t="shared" si="8"/>
        <v>0</v>
      </c>
      <c r="AD5" s="69">
        <f t="shared" si="9"/>
        <v>0</v>
      </c>
      <c r="AE5" s="69">
        <f t="shared" si="10"/>
        <v>0</v>
      </c>
      <c r="AF5" s="69">
        <f t="shared" si="11"/>
        <v>0</v>
      </c>
      <c r="AG5" s="69">
        <f t="shared" si="12"/>
        <v>0</v>
      </c>
      <c r="AH5" s="69">
        <f t="shared" si="13"/>
        <v>0</v>
      </c>
      <c r="AI5" s="69">
        <f t="shared" si="14"/>
        <v>0</v>
      </c>
      <c r="AJ5" s="69">
        <f t="shared" si="15"/>
        <v>0</v>
      </c>
      <c r="AK5" s="69">
        <f t="shared" si="16"/>
        <v>0</v>
      </c>
    </row>
    <row r="6" spans="1:37">
      <c r="A6" s="421">
        <v>4</v>
      </c>
      <c r="B6" s="548" t="s">
        <v>743</v>
      </c>
      <c r="C6" s="421">
        <v>1</v>
      </c>
      <c r="D6" s="419">
        <f>SUMIFS('boc xe'!U$2:U$27,'boc xe'!$B$2:$B$27,'chia CN boc xe'!$C6)</f>
        <v>0</v>
      </c>
      <c r="E6" s="419">
        <f>SUMIFS('boc xe'!V$2:V$27,'boc xe'!$B$2:$B$27,'chia CN boc xe'!$C6)</f>
        <v>0</v>
      </c>
      <c r="F6" s="419">
        <f>SUMIFS('boc xe'!W$2:W$27,'boc xe'!$B$2:$B$27,'chia CN boc xe'!$C6)</f>
        <v>0</v>
      </c>
      <c r="G6" s="419">
        <f>SUMIFS('boc xe'!X$2:X$27,'boc xe'!$B$2:$B$27,'chia CN boc xe'!$C6)</f>
        <v>5</v>
      </c>
      <c r="H6" s="419">
        <f>SUMIFS('boc xe'!Y$2:Y$27,'boc xe'!$B$2:$B$27,'chia CN boc xe'!$C6)</f>
        <v>0</v>
      </c>
      <c r="I6" s="419">
        <f>SUMIFS('boc xe'!Z$2:Z$27,'boc xe'!$B$2:$B$27,'chia CN boc xe'!$C6)</f>
        <v>36.666666666666664</v>
      </c>
      <c r="J6" s="419">
        <f>SUMIFS('boc xe'!AA$2:AA$27,'boc xe'!$B$2:$B$27,'chia CN boc xe'!$C6)</f>
        <v>0</v>
      </c>
      <c r="K6" s="419">
        <f>SUMIFS('boc xe'!AB$2:AB$27,'boc xe'!$B$2:$B$27,'chia CN boc xe'!$C6)</f>
        <v>0</v>
      </c>
      <c r="L6" s="419">
        <f>SUMIFS('boc xe'!AC$2:AC$27,'boc xe'!$B$2:$B$27,'chia CN boc xe'!$C6)</f>
        <v>0</v>
      </c>
      <c r="M6" s="419">
        <f>SUMIFS('boc xe'!AD$2:AD$27,'boc xe'!$B$2:$B$27,'chia CN boc xe'!$C6)</f>
        <v>0</v>
      </c>
      <c r="N6" s="419">
        <f>SUMIFS('boc xe'!AE$2:AE$27,'boc xe'!$B$2:$B$27,'chia CN boc xe'!$C6)</f>
        <v>16.666666666666668</v>
      </c>
      <c r="O6" s="419">
        <f>SUMIFS('boc xe'!AF$2:AF$27,'boc xe'!$B$2:$B$27,'chia CN boc xe'!$C6)</f>
        <v>0</v>
      </c>
      <c r="P6" s="419">
        <f>SUMIFS('boc xe'!AG$2:AG$27,'boc xe'!$B$2:$B$27,'chia CN boc xe'!$C6)</f>
        <v>0</v>
      </c>
      <c r="Q6" s="419">
        <f>SUMIFS('boc xe'!AH$2:AH$27,'boc xe'!$B$2:$B$27,'chia CN boc xe'!$C6)</f>
        <v>4.166666666666667</v>
      </c>
      <c r="R6" s="419">
        <f>SUMIFS('boc xe'!AI$2:AI$27,'boc xe'!$B$2:$B$27,'chia CN boc xe'!$C6)</f>
        <v>0</v>
      </c>
      <c r="S6" s="419">
        <f>SUMIFS('boc xe'!AJ$2:AJ$27,'boc xe'!$B$2:$B$27,'chia CN boc xe'!$C6)</f>
        <v>0</v>
      </c>
      <c r="U6" s="67" t="str">
        <f>'BANG LUONG 1'!C27</f>
        <v>Lê Tấn Phát</v>
      </c>
      <c r="V6" s="69">
        <f t="shared" si="1"/>
        <v>0</v>
      </c>
      <c r="W6" s="69">
        <f t="shared" si="2"/>
        <v>0</v>
      </c>
      <c r="X6" s="69">
        <f t="shared" si="3"/>
        <v>0</v>
      </c>
      <c r="Y6" s="69">
        <f t="shared" si="4"/>
        <v>0</v>
      </c>
      <c r="Z6" s="69">
        <f t="shared" si="5"/>
        <v>0</v>
      </c>
      <c r="AA6" s="69">
        <f t="shared" si="6"/>
        <v>0</v>
      </c>
      <c r="AB6" s="69">
        <f t="shared" si="7"/>
        <v>0</v>
      </c>
      <c r="AC6" s="69">
        <f t="shared" si="8"/>
        <v>0</v>
      </c>
      <c r="AD6" s="69">
        <f t="shared" si="9"/>
        <v>0</v>
      </c>
      <c r="AE6" s="69">
        <f t="shared" si="10"/>
        <v>0</v>
      </c>
      <c r="AF6" s="69">
        <f t="shared" si="11"/>
        <v>0</v>
      </c>
      <c r="AG6" s="69">
        <f t="shared" si="12"/>
        <v>0</v>
      </c>
      <c r="AH6" s="69">
        <f t="shared" si="13"/>
        <v>0</v>
      </c>
      <c r="AI6" s="69">
        <f t="shared" si="14"/>
        <v>0</v>
      </c>
      <c r="AJ6" s="69">
        <f t="shared" si="15"/>
        <v>0</v>
      </c>
      <c r="AK6" s="69">
        <f t="shared" si="16"/>
        <v>0</v>
      </c>
    </row>
    <row r="7" spans="1:37">
      <c r="A7" s="421">
        <v>5</v>
      </c>
      <c r="B7" s="548" t="s">
        <v>747</v>
      </c>
      <c r="C7" s="421">
        <v>1</v>
      </c>
      <c r="D7" s="419">
        <f>SUMIFS('boc xe'!U$2:U$27,'boc xe'!$B$2:$B$27,'chia CN boc xe'!$C7)</f>
        <v>0</v>
      </c>
      <c r="E7" s="419">
        <f>SUMIFS('boc xe'!V$2:V$27,'boc xe'!$B$2:$B$27,'chia CN boc xe'!$C7)</f>
        <v>0</v>
      </c>
      <c r="F7" s="419">
        <f>SUMIFS('boc xe'!W$2:W$27,'boc xe'!$B$2:$B$27,'chia CN boc xe'!$C7)</f>
        <v>0</v>
      </c>
      <c r="G7" s="419">
        <f>SUMIFS('boc xe'!X$2:X$27,'boc xe'!$B$2:$B$27,'chia CN boc xe'!$C7)</f>
        <v>5</v>
      </c>
      <c r="H7" s="419">
        <f>SUMIFS('boc xe'!Y$2:Y$27,'boc xe'!$B$2:$B$27,'chia CN boc xe'!$C7)</f>
        <v>0</v>
      </c>
      <c r="I7" s="419">
        <f>SUMIFS('boc xe'!Z$2:Z$27,'boc xe'!$B$2:$B$27,'chia CN boc xe'!$C7)</f>
        <v>36.666666666666664</v>
      </c>
      <c r="J7" s="419">
        <f>SUMIFS('boc xe'!AA$2:AA$27,'boc xe'!$B$2:$B$27,'chia CN boc xe'!$C7)</f>
        <v>0</v>
      </c>
      <c r="K7" s="419">
        <f>SUMIFS('boc xe'!AB$2:AB$27,'boc xe'!$B$2:$B$27,'chia CN boc xe'!$C7)</f>
        <v>0</v>
      </c>
      <c r="L7" s="419">
        <f>SUMIFS('boc xe'!AC$2:AC$27,'boc xe'!$B$2:$B$27,'chia CN boc xe'!$C7)</f>
        <v>0</v>
      </c>
      <c r="M7" s="419">
        <f>SUMIFS('boc xe'!AD$2:AD$27,'boc xe'!$B$2:$B$27,'chia CN boc xe'!$C7)</f>
        <v>0</v>
      </c>
      <c r="N7" s="419">
        <f>SUMIFS('boc xe'!AE$2:AE$27,'boc xe'!$B$2:$B$27,'chia CN boc xe'!$C7)</f>
        <v>16.666666666666668</v>
      </c>
      <c r="O7" s="419">
        <f>SUMIFS('boc xe'!AF$2:AF$27,'boc xe'!$B$2:$B$27,'chia CN boc xe'!$C7)</f>
        <v>0</v>
      </c>
      <c r="P7" s="419">
        <f>SUMIFS('boc xe'!AG$2:AG$27,'boc xe'!$B$2:$B$27,'chia CN boc xe'!$C7)</f>
        <v>0</v>
      </c>
      <c r="Q7" s="419">
        <f>SUMIFS('boc xe'!AH$2:AH$27,'boc xe'!$B$2:$B$27,'chia CN boc xe'!$C7)</f>
        <v>4.166666666666667</v>
      </c>
      <c r="R7" s="419">
        <f>SUMIFS('boc xe'!AI$2:AI$27,'boc xe'!$B$2:$B$27,'chia CN boc xe'!$C7)</f>
        <v>0</v>
      </c>
      <c r="S7" s="419">
        <f>SUMIFS('boc xe'!AJ$2:AJ$27,'boc xe'!$B$2:$B$27,'chia CN boc xe'!$C7)</f>
        <v>0</v>
      </c>
      <c r="U7" s="67" t="str">
        <f>'BANG LUONG 1'!C19</f>
        <v>Triệu Minh Tú</v>
      </c>
      <c r="V7" s="69">
        <f t="shared" si="1"/>
        <v>0</v>
      </c>
      <c r="W7" s="69">
        <f t="shared" si="2"/>
        <v>0</v>
      </c>
      <c r="X7" s="69">
        <f t="shared" si="3"/>
        <v>0</v>
      </c>
      <c r="Y7" s="69">
        <f t="shared" si="4"/>
        <v>0</v>
      </c>
      <c r="Z7" s="69">
        <f t="shared" si="5"/>
        <v>0</v>
      </c>
      <c r="AA7" s="69">
        <f t="shared" si="6"/>
        <v>0</v>
      </c>
      <c r="AB7" s="69">
        <f t="shared" si="7"/>
        <v>0</v>
      </c>
      <c r="AC7" s="69">
        <f t="shared" si="8"/>
        <v>0</v>
      </c>
      <c r="AD7" s="69">
        <f t="shared" si="9"/>
        <v>0</v>
      </c>
      <c r="AE7" s="69">
        <f t="shared" si="10"/>
        <v>0</v>
      </c>
      <c r="AF7" s="69">
        <f t="shared" si="11"/>
        <v>0</v>
      </c>
      <c r="AG7" s="69">
        <f t="shared" si="12"/>
        <v>0</v>
      </c>
      <c r="AH7" s="69">
        <f t="shared" si="13"/>
        <v>0</v>
      </c>
      <c r="AI7" s="69">
        <f t="shared" si="14"/>
        <v>0</v>
      </c>
      <c r="AJ7" s="69">
        <f t="shared" si="15"/>
        <v>0</v>
      </c>
      <c r="AK7" s="69">
        <f t="shared" si="16"/>
        <v>0</v>
      </c>
    </row>
    <row r="8" spans="1:37">
      <c r="A8" s="421">
        <v>6</v>
      </c>
      <c r="B8" s="545" t="s">
        <v>752</v>
      </c>
      <c r="C8" s="421">
        <v>1</v>
      </c>
      <c r="D8" s="419">
        <f>SUMIFS('boc xe'!U$2:U$27,'boc xe'!$B$2:$B$27,'chia CN boc xe'!$C8)</f>
        <v>0</v>
      </c>
      <c r="E8" s="419">
        <f>SUMIFS('boc xe'!V$2:V$27,'boc xe'!$B$2:$B$27,'chia CN boc xe'!$C8)</f>
        <v>0</v>
      </c>
      <c r="F8" s="419">
        <f>SUMIFS('boc xe'!W$2:W$27,'boc xe'!$B$2:$B$27,'chia CN boc xe'!$C8)</f>
        <v>0</v>
      </c>
      <c r="G8" s="419">
        <f>SUMIFS('boc xe'!X$2:X$27,'boc xe'!$B$2:$B$27,'chia CN boc xe'!$C8)</f>
        <v>5</v>
      </c>
      <c r="H8" s="419">
        <f>SUMIFS('boc xe'!Y$2:Y$27,'boc xe'!$B$2:$B$27,'chia CN boc xe'!$C8)</f>
        <v>0</v>
      </c>
      <c r="I8" s="419">
        <f>SUMIFS('boc xe'!Z$2:Z$27,'boc xe'!$B$2:$B$27,'chia CN boc xe'!$C8)</f>
        <v>36.666666666666664</v>
      </c>
      <c r="J8" s="419">
        <f>SUMIFS('boc xe'!AA$2:AA$27,'boc xe'!$B$2:$B$27,'chia CN boc xe'!$C8)</f>
        <v>0</v>
      </c>
      <c r="K8" s="419">
        <f>SUMIFS('boc xe'!AB$2:AB$27,'boc xe'!$B$2:$B$27,'chia CN boc xe'!$C8)</f>
        <v>0</v>
      </c>
      <c r="L8" s="419">
        <f>SUMIFS('boc xe'!AC$2:AC$27,'boc xe'!$B$2:$B$27,'chia CN boc xe'!$C8)</f>
        <v>0</v>
      </c>
      <c r="M8" s="419">
        <f>SUMIFS('boc xe'!AD$2:AD$27,'boc xe'!$B$2:$B$27,'chia CN boc xe'!$C8)</f>
        <v>0</v>
      </c>
      <c r="N8" s="419">
        <f>SUMIFS('boc xe'!AE$2:AE$27,'boc xe'!$B$2:$B$27,'chia CN boc xe'!$C8)</f>
        <v>16.666666666666668</v>
      </c>
      <c r="O8" s="419">
        <f>SUMIFS('boc xe'!AF$2:AF$27,'boc xe'!$B$2:$B$27,'chia CN boc xe'!$C8)</f>
        <v>0</v>
      </c>
      <c r="P8" s="419">
        <f>SUMIFS('boc xe'!AG$2:AG$27,'boc xe'!$B$2:$B$27,'chia CN boc xe'!$C8)</f>
        <v>0</v>
      </c>
      <c r="Q8" s="419">
        <f>SUMIFS('boc xe'!AH$2:AH$27,'boc xe'!$B$2:$B$27,'chia CN boc xe'!$C8)</f>
        <v>4.166666666666667</v>
      </c>
      <c r="R8" s="419">
        <f>SUMIFS('boc xe'!AI$2:AI$27,'boc xe'!$B$2:$B$27,'chia CN boc xe'!$C8)</f>
        <v>0</v>
      </c>
      <c r="S8" s="419">
        <f>SUMIFS('boc xe'!AJ$2:AJ$27,'boc xe'!$B$2:$B$27,'chia CN boc xe'!$C8)</f>
        <v>0</v>
      </c>
      <c r="U8" s="67" t="e">
        <f>'BANG LUONG 1'!#REF!</f>
        <v>#REF!</v>
      </c>
      <c r="V8" s="69">
        <f t="shared" si="1"/>
        <v>0</v>
      </c>
      <c r="W8" s="69">
        <f t="shared" si="2"/>
        <v>0</v>
      </c>
      <c r="X8" s="69">
        <f t="shared" si="3"/>
        <v>0</v>
      </c>
      <c r="Y8" s="69">
        <f t="shared" si="4"/>
        <v>0</v>
      </c>
      <c r="Z8" s="69">
        <f t="shared" si="5"/>
        <v>0</v>
      </c>
      <c r="AA8" s="69">
        <f t="shared" si="6"/>
        <v>0</v>
      </c>
      <c r="AB8" s="69">
        <f t="shared" si="7"/>
        <v>0</v>
      </c>
      <c r="AC8" s="69">
        <f t="shared" si="8"/>
        <v>0</v>
      </c>
      <c r="AD8" s="69">
        <f t="shared" si="9"/>
        <v>0</v>
      </c>
      <c r="AE8" s="69">
        <f t="shared" si="10"/>
        <v>0</v>
      </c>
      <c r="AF8" s="69">
        <f t="shared" si="11"/>
        <v>0</v>
      </c>
      <c r="AG8" s="69">
        <f t="shared" si="12"/>
        <v>0</v>
      </c>
      <c r="AH8" s="69">
        <f t="shared" si="13"/>
        <v>0</v>
      </c>
      <c r="AI8" s="69">
        <f t="shared" si="14"/>
        <v>0</v>
      </c>
      <c r="AJ8" s="69">
        <f t="shared" si="15"/>
        <v>0</v>
      </c>
      <c r="AK8" s="69">
        <f t="shared" si="16"/>
        <v>0</v>
      </c>
    </row>
    <row r="9" spans="1:37">
      <c r="A9" s="421">
        <v>7</v>
      </c>
      <c r="B9" s="546" t="s">
        <v>617</v>
      </c>
      <c r="C9" s="421">
        <v>2</v>
      </c>
      <c r="D9" s="419">
        <f>SUMIFS('boc xe'!U$2:U$27,'boc xe'!$B$2:$B$27,'chia CN boc xe'!$C9)</f>
        <v>0</v>
      </c>
      <c r="E9" s="419">
        <f>SUMIFS('boc xe'!V$2:V$27,'boc xe'!$B$2:$B$27,'chia CN boc xe'!$C9)</f>
        <v>0</v>
      </c>
      <c r="F9" s="419">
        <f>SUMIFS('boc xe'!W$2:W$27,'boc xe'!$B$2:$B$27,'chia CN boc xe'!$C9)</f>
        <v>0</v>
      </c>
      <c r="G9" s="419">
        <f>SUMIFS('boc xe'!X$2:X$27,'boc xe'!$B$2:$B$27,'chia CN boc xe'!$C9)</f>
        <v>16.666666666666668</v>
      </c>
      <c r="H9" s="419">
        <f>SUMIFS('boc xe'!Y$2:Y$27,'boc xe'!$B$2:$B$27,'chia CN boc xe'!$C9)</f>
        <v>0</v>
      </c>
      <c r="I9" s="419">
        <f>SUMIFS('boc xe'!Z$2:Z$27,'boc xe'!$B$2:$B$27,'chia CN boc xe'!$C9)</f>
        <v>15.333333333333334</v>
      </c>
      <c r="J9" s="419">
        <f>SUMIFS('boc xe'!AA$2:AA$27,'boc xe'!$B$2:$B$27,'chia CN boc xe'!$C9)</f>
        <v>0</v>
      </c>
      <c r="K9" s="419">
        <f>SUMIFS('boc xe'!AB$2:AB$27,'boc xe'!$B$2:$B$27,'chia CN boc xe'!$C9)</f>
        <v>0</v>
      </c>
      <c r="L9" s="419">
        <f>SUMIFS('boc xe'!AC$2:AC$27,'boc xe'!$B$2:$B$27,'chia CN boc xe'!$C9)</f>
        <v>0</v>
      </c>
      <c r="M9" s="419">
        <f>SUMIFS('boc xe'!AD$2:AD$27,'boc xe'!$B$2:$B$27,'chia CN boc xe'!$C9)</f>
        <v>0</v>
      </c>
      <c r="N9" s="419">
        <f>SUMIFS('boc xe'!AE$2:AE$27,'boc xe'!$B$2:$B$27,'chia CN boc xe'!$C9)</f>
        <v>0</v>
      </c>
      <c r="O9" s="419">
        <f>SUMIFS('boc xe'!AF$2:AF$27,'boc xe'!$B$2:$B$27,'chia CN boc xe'!$C9)</f>
        <v>0</v>
      </c>
      <c r="P9" s="419">
        <f>SUMIFS('boc xe'!AG$2:AG$27,'boc xe'!$B$2:$B$27,'chia CN boc xe'!$C9)</f>
        <v>0</v>
      </c>
      <c r="Q9" s="419">
        <f>SUMIFS('boc xe'!AH$2:AH$27,'boc xe'!$B$2:$B$27,'chia CN boc xe'!$C9)</f>
        <v>0</v>
      </c>
      <c r="R9" s="419">
        <f>SUMIFS('boc xe'!AI$2:AI$27,'boc xe'!$B$2:$B$27,'chia CN boc xe'!$C9)</f>
        <v>0</v>
      </c>
      <c r="S9" s="419">
        <f>SUMIFS('boc xe'!AJ$2:AJ$27,'boc xe'!$B$2:$B$27,'chia CN boc xe'!$C9)</f>
        <v>8.3333333333333339</v>
      </c>
      <c r="U9" s="67" t="str">
        <f>'BANG LUONG 1'!C24</f>
        <v>Thạch Giàu</v>
      </c>
      <c r="V9" s="69">
        <f t="shared" si="1"/>
        <v>0</v>
      </c>
      <c r="W9" s="69">
        <f t="shared" si="2"/>
        <v>0</v>
      </c>
      <c r="X9" s="69">
        <f t="shared" si="3"/>
        <v>0</v>
      </c>
      <c r="Y9" s="69">
        <f t="shared" si="4"/>
        <v>0</v>
      </c>
      <c r="Z9" s="69">
        <f t="shared" si="5"/>
        <v>0</v>
      </c>
      <c r="AA9" s="69">
        <f t="shared" si="6"/>
        <v>0</v>
      </c>
      <c r="AB9" s="69">
        <f t="shared" si="7"/>
        <v>0</v>
      </c>
      <c r="AC9" s="69">
        <f t="shared" si="8"/>
        <v>0</v>
      </c>
      <c r="AD9" s="69">
        <f t="shared" si="9"/>
        <v>0</v>
      </c>
      <c r="AE9" s="69">
        <f t="shared" si="10"/>
        <v>0</v>
      </c>
      <c r="AF9" s="69">
        <f t="shared" si="11"/>
        <v>0</v>
      </c>
      <c r="AG9" s="69">
        <f t="shared" si="12"/>
        <v>0</v>
      </c>
      <c r="AH9" s="69">
        <f t="shared" si="13"/>
        <v>0</v>
      </c>
      <c r="AI9" s="69">
        <f t="shared" si="14"/>
        <v>0</v>
      </c>
      <c r="AJ9" s="69">
        <f t="shared" si="15"/>
        <v>0</v>
      </c>
      <c r="AK9" s="69">
        <f t="shared" si="16"/>
        <v>0</v>
      </c>
    </row>
    <row r="10" spans="1:37">
      <c r="A10" s="421">
        <v>8</v>
      </c>
      <c r="B10" s="545" t="s">
        <v>618</v>
      </c>
      <c r="C10" s="421">
        <v>2</v>
      </c>
      <c r="D10" s="419">
        <f>SUMIFS('boc xe'!U$2:U$27,'boc xe'!$B$2:$B$27,'chia CN boc xe'!$C10)</f>
        <v>0</v>
      </c>
      <c r="E10" s="419">
        <f>SUMIFS('boc xe'!V$2:V$27,'boc xe'!$B$2:$B$27,'chia CN boc xe'!$C10)</f>
        <v>0</v>
      </c>
      <c r="F10" s="419">
        <f>SUMIFS('boc xe'!W$2:W$27,'boc xe'!$B$2:$B$27,'chia CN boc xe'!$C10)</f>
        <v>0</v>
      </c>
      <c r="G10" s="419">
        <f>SUMIFS('boc xe'!X$2:X$27,'boc xe'!$B$2:$B$27,'chia CN boc xe'!$C10)</f>
        <v>16.666666666666668</v>
      </c>
      <c r="H10" s="419">
        <f>SUMIFS('boc xe'!Y$2:Y$27,'boc xe'!$B$2:$B$27,'chia CN boc xe'!$C10)</f>
        <v>0</v>
      </c>
      <c r="I10" s="419">
        <f>SUMIFS('boc xe'!Z$2:Z$27,'boc xe'!$B$2:$B$27,'chia CN boc xe'!$C10)</f>
        <v>15.333333333333334</v>
      </c>
      <c r="J10" s="419">
        <f>SUMIFS('boc xe'!AA$2:AA$27,'boc xe'!$B$2:$B$27,'chia CN boc xe'!$C10)</f>
        <v>0</v>
      </c>
      <c r="K10" s="419">
        <f>SUMIFS('boc xe'!AB$2:AB$27,'boc xe'!$B$2:$B$27,'chia CN boc xe'!$C10)</f>
        <v>0</v>
      </c>
      <c r="L10" s="419">
        <f>SUMIFS('boc xe'!AC$2:AC$27,'boc xe'!$B$2:$B$27,'chia CN boc xe'!$C10)</f>
        <v>0</v>
      </c>
      <c r="M10" s="419">
        <f>SUMIFS('boc xe'!AD$2:AD$27,'boc xe'!$B$2:$B$27,'chia CN boc xe'!$C10)</f>
        <v>0</v>
      </c>
      <c r="N10" s="419">
        <f>SUMIFS('boc xe'!AE$2:AE$27,'boc xe'!$B$2:$B$27,'chia CN boc xe'!$C10)</f>
        <v>0</v>
      </c>
      <c r="O10" s="419">
        <f>SUMIFS('boc xe'!AF$2:AF$27,'boc xe'!$B$2:$B$27,'chia CN boc xe'!$C10)</f>
        <v>0</v>
      </c>
      <c r="P10" s="419">
        <f>SUMIFS('boc xe'!AG$2:AG$27,'boc xe'!$B$2:$B$27,'chia CN boc xe'!$C10)</f>
        <v>0</v>
      </c>
      <c r="Q10" s="419">
        <f>SUMIFS('boc xe'!AH$2:AH$27,'boc xe'!$B$2:$B$27,'chia CN boc xe'!$C10)</f>
        <v>0</v>
      </c>
      <c r="R10" s="419">
        <f>SUMIFS('boc xe'!AI$2:AI$27,'boc xe'!$B$2:$B$27,'chia CN boc xe'!$C10)</f>
        <v>0</v>
      </c>
      <c r="S10" s="419">
        <f>SUMIFS('boc xe'!AJ$2:AJ$27,'boc xe'!$B$2:$B$27,'chia CN boc xe'!$C10)</f>
        <v>8.3333333333333339</v>
      </c>
      <c r="U10" s="67" t="e">
        <f>'BANG LUONG 1'!#REF!</f>
        <v>#REF!</v>
      </c>
      <c r="V10" s="69">
        <f t="shared" si="1"/>
        <v>0</v>
      </c>
      <c r="W10" s="69">
        <f t="shared" si="2"/>
        <v>0</v>
      </c>
      <c r="X10" s="69">
        <f t="shared" si="3"/>
        <v>0</v>
      </c>
      <c r="Y10" s="69">
        <f t="shared" si="4"/>
        <v>0</v>
      </c>
      <c r="Z10" s="69">
        <f t="shared" si="5"/>
        <v>0</v>
      </c>
      <c r="AA10" s="69">
        <f t="shared" si="6"/>
        <v>0</v>
      </c>
      <c r="AB10" s="69">
        <f t="shared" si="7"/>
        <v>0</v>
      </c>
      <c r="AC10" s="69">
        <f t="shared" si="8"/>
        <v>0</v>
      </c>
      <c r="AD10" s="69">
        <f t="shared" si="9"/>
        <v>0</v>
      </c>
      <c r="AE10" s="69">
        <f t="shared" si="10"/>
        <v>0</v>
      </c>
      <c r="AF10" s="69">
        <f t="shared" si="11"/>
        <v>0</v>
      </c>
      <c r="AG10" s="69">
        <f t="shared" si="12"/>
        <v>0</v>
      </c>
      <c r="AH10" s="69">
        <f t="shared" si="13"/>
        <v>0</v>
      </c>
      <c r="AI10" s="69">
        <f t="shared" si="14"/>
        <v>0</v>
      </c>
      <c r="AJ10" s="69">
        <f t="shared" si="15"/>
        <v>0</v>
      </c>
      <c r="AK10" s="69">
        <f t="shared" si="16"/>
        <v>0</v>
      </c>
    </row>
    <row r="11" spans="1:37">
      <c r="A11" s="421">
        <v>9</v>
      </c>
      <c r="B11" s="546" t="s">
        <v>620</v>
      </c>
      <c r="C11" s="421">
        <v>2</v>
      </c>
      <c r="D11" s="419">
        <f>SUMIFS('boc xe'!U$2:U$27,'boc xe'!$B$2:$B$27,'chia CN boc xe'!$C11)</f>
        <v>0</v>
      </c>
      <c r="E11" s="419">
        <f>SUMIFS('boc xe'!V$2:V$27,'boc xe'!$B$2:$B$27,'chia CN boc xe'!$C11)</f>
        <v>0</v>
      </c>
      <c r="F11" s="419">
        <f>SUMIFS('boc xe'!W$2:W$27,'boc xe'!$B$2:$B$27,'chia CN boc xe'!$C11)</f>
        <v>0</v>
      </c>
      <c r="G11" s="419">
        <f>SUMIFS('boc xe'!X$2:X$27,'boc xe'!$B$2:$B$27,'chia CN boc xe'!$C11)</f>
        <v>16.666666666666668</v>
      </c>
      <c r="H11" s="419">
        <f>SUMIFS('boc xe'!Y$2:Y$27,'boc xe'!$B$2:$B$27,'chia CN boc xe'!$C11)</f>
        <v>0</v>
      </c>
      <c r="I11" s="419">
        <f>SUMIFS('boc xe'!Z$2:Z$27,'boc xe'!$B$2:$B$27,'chia CN boc xe'!$C11)</f>
        <v>15.333333333333334</v>
      </c>
      <c r="J11" s="419">
        <f>SUMIFS('boc xe'!AA$2:AA$27,'boc xe'!$B$2:$B$27,'chia CN boc xe'!$C11)</f>
        <v>0</v>
      </c>
      <c r="K11" s="419">
        <f>SUMIFS('boc xe'!AB$2:AB$27,'boc xe'!$B$2:$B$27,'chia CN boc xe'!$C11)</f>
        <v>0</v>
      </c>
      <c r="L11" s="419">
        <f>SUMIFS('boc xe'!AC$2:AC$27,'boc xe'!$B$2:$B$27,'chia CN boc xe'!$C11)</f>
        <v>0</v>
      </c>
      <c r="M11" s="419">
        <f>SUMIFS('boc xe'!AD$2:AD$27,'boc xe'!$B$2:$B$27,'chia CN boc xe'!$C11)</f>
        <v>0</v>
      </c>
      <c r="N11" s="419">
        <f>SUMIFS('boc xe'!AE$2:AE$27,'boc xe'!$B$2:$B$27,'chia CN boc xe'!$C11)</f>
        <v>0</v>
      </c>
      <c r="O11" s="419">
        <f>SUMIFS('boc xe'!AF$2:AF$27,'boc xe'!$B$2:$B$27,'chia CN boc xe'!$C11)</f>
        <v>0</v>
      </c>
      <c r="P11" s="419">
        <f>SUMIFS('boc xe'!AG$2:AG$27,'boc xe'!$B$2:$B$27,'chia CN boc xe'!$C11)</f>
        <v>0</v>
      </c>
      <c r="Q11" s="419">
        <f>SUMIFS('boc xe'!AH$2:AH$27,'boc xe'!$B$2:$B$27,'chia CN boc xe'!$C11)</f>
        <v>0</v>
      </c>
      <c r="R11" s="419">
        <f>SUMIFS('boc xe'!AI$2:AI$27,'boc xe'!$B$2:$B$27,'chia CN boc xe'!$C11)</f>
        <v>0</v>
      </c>
      <c r="S11" s="419">
        <f>SUMIFS('boc xe'!AJ$2:AJ$27,'boc xe'!$B$2:$B$27,'chia CN boc xe'!$C11)</f>
        <v>8.3333333333333339</v>
      </c>
      <c r="U11" s="67" t="str">
        <f>'BANG LUONG 1'!C25</f>
        <v>Trần Thanh Hậu</v>
      </c>
      <c r="V11" s="69">
        <f t="shared" si="1"/>
        <v>0</v>
      </c>
      <c r="W11" s="69">
        <f t="shared" si="2"/>
        <v>0</v>
      </c>
      <c r="X11" s="69">
        <f t="shared" si="3"/>
        <v>0</v>
      </c>
      <c r="Y11" s="69">
        <f t="shared" si="4"/>
        <v>0</v>
      </c>
      <c r="Z11" s="69">
        <f t="shared" si="5"/>
        <v>0</v>
      </c>
      <c r="AA11" s="69">
        <f t="shared" si="6"/>
        <v>0</v>
      </c>
      <c r="AB11" s="69">
        <f t="shared" si="7"/>
        <v>0</v>
      </c>
      <c r="AC11" s="69">
        <f t="shared" si="8"/>
        <v>0</v>
      </c>
      <c r="AD11" s="69">
        <f t="shared" si="9"/>
        <v>0</v>
      </c>
      <c r="AE11" s="69">
        <f t="shared" si="10"/>
        <v>0</v>
      </c>
      <c r="AF11" s="69">
        <f t="shared" si="11"/>
        <v>0</v>
      </c>
      <c r="AG11" s="69">
        <f t="shared" si="12"/>
        <v>0</v>
      </c>
      <c r="AH11" s="69">
        <f t="shared" si="13"/>
        <v>0</v>
      </c>
      <c r="AI11" s="69">
        <f t="shared" si="14"/>
        <v>0</v>
      </c>
      <c r="AJ11" s="69">
        <f t="shared" si="15"/>
        <v>0</v>
      </c>
      <c r="AK11" s="69">
        <f t="shared" si="16"/>
        <v>0</v>
      </c>
    </row>
    <row r="12" spans="1:37">
      <c r="A12" s="421">
        <v>10</v>
      </c>
      <c r="B12" s="548" t="s">
        <v>743</v>
      </c>
      <c r="C12" s="421">
        <v>2</v>
      </c>
      <c r="D12" s="419">
        <f>SUMIFS('boc xe'!U$2:U$27,'boc xe'!$B$2:$B$27,'chia CN boc xe'!$C12)</f>
        <v>0</v>
      </c>
      <c r="E12" s="419">
        <f>SUMIFS('boc xe'!V$2:V$27,'boc xe'!$B$2:$B$27,'chia CN boc xe'!$C12)</f>
        <v>0</v>
      </c>
      <c r="F12" s="419">
        <f>SUMIFS('boc xe'!W$2:W$27,'boc xe'!$B$2:$B$27,'chia CN boc xe'!$C12)</f>
        <v>0</v>
      </c>
      <c r="G12" s="419">
        <f>SUMIFS('boc xe'!X$2:X$27,'boc xe'!$B$2:$B$27,'chia CN boc xe'!$C12)</f>
        <v>16.666666666666668</v>
      </c>
      <c r="H12" s="419">
        <f>SUMIFS('boc xe'!Y$2:Y$27,'boc xe'!$B$2:$B$27,'chia CN boc xe'!$C12)</f>
        <v>0</v>
      </c>
      <c r="I12" s="419">
        <f>SUMIFS('boc xe'!Z$2:Z$27,'boc xe'!$B$2:$B$27,'chia CN boc xe'!$C12)</f>
        <v>15.333333333333334</v>
      </c>
      <c r="J12" s="419">
        <f>SUMIFS('boc xe'!AA$2:AA$27,'boc xe'!$B$2:$B$27,'chia CN boc xe'!$C12)</f>
        <v>0</v>
      </c>
      <c r="K12" s="419">
        <f>SUMIFS('boc xe'!AB$2:AB$27,'boc xe'!$B$2:$B$27,'chia CN boc xe'!$C12)</f>
        <v>0</v>
      </c>
      <c r="L12" s="419">
        <f>SUMIFS('boc xe'!AC$2:AC$27,'boc xe'!$B$2:$B$27,'chia CN boc xe'!$C12)</f>
        <v>0</v>
      </c>
      <c r="M12" s="419">
        <f>SUMIFS('boc xe'!AD$2:AD$27,'boc xe'!$B$2:$B$27,'chia CN boc xe'!$C12)</f>
        <v>0</v>
      </c>
      <c r="N12" s="419">
        <f>SUMIFS('boc xe'!AE$2:AE$27,'boc xe'!$B$2:$B$27,'chia CN boc xe'!$C12)</f>
        <v>0</v>
      </c>
      <c r="O12" s="419">
        <f>SUMIFS('boc xe'!AF$2:AF$27,'boc xe'!$B$2:$B$27,'chia CN boc xe'!$C12)</f>
        <v>0</v>
      </c>
      <c r="P12" s="419">
        <f>SUMIFS('boc xe'!AG$2:AG$27,'boc xe'!$B$2:$B$27,'chia CN boc xe'!$C12)</f>
        <v>0</v>
      </c>
      <c r="Q12" s="419">
        <f>SUMIFS('boc xe'!AH$2:AH$27,'boc xe'!$B$2:$B$27,'chia CN boc xe'!$C12)</f>
        <v>0</v>
      </c>
      <c r="R12" s="419">
        <f>SUMIFS('boc xe'!AI$2:AI$27,'boc xe'!$B$2:$B$27,'chia CN boc xe'!$C12)</f>
        <v>0</v>
      </c>
      <c r="S12" s="419">
        <f>SUMIFS('boc xe'!AJ$2:AJ$27,'boc xe'!$B$2:$B$27,'chia CN boc xe'!$C12)</f>
        <v>8.3333333333333339</v>
      </c>
      <c r="U12" s="67" t="e">
        <f>'BANG LUONG 1'!#REF!</f>
        <v>#REF!</v>
      </c>
      <c r="V12" s="69">
        <f t="shared" si="1"/>
        <v>0</v>
      </c>
      <c r="W12" s="69">
        <f t="shared" si="2"/>
        <v>0</v>
      </c>
      <c r="X12" s="69">
        <f t="shared" si="3"/>
        <v>0</v>
      </c>
      <c r="Y12" s="69">
        <f t="shared" si="4"/>
        <v>0</v>
      </c>
      <c r="Z12" s="69">
        <f t="shared" si="5"/>
        <v>0</v>
      </c>
      <c r="AA12" s="69">
        <f t="shared" si="6"/>
        <v>0</v>
      </c>
      <c r="AB12" s="69">
        <f t="shared" si="7"/>
        <v>0</v>
      </c>
      <c r="AC12" s="69">
        <f t="shared" si="8"/>
        <v>0</v>
      </c>
      <c r="AD12" s="69">
        <f t="shared" si="9"/>
        <v>0</v>
      </c>
      <c r="AE12" s="69">
        <f t="shared" si="10"/>
        <v>0</v>
      </c>
      <c r="AF12" s="69">
        <f t="shared" si="11"/>
        <v>0</v>
      </c>
      <c r="AG12" s="69">
        <f t="shared" si="12"/>
        <v>0</v>
      </c>
      <c r="AH12" s="69">
        <f t="shared" si="13"/>
        <v>0</v>
      </c>
      <c r="AI12" s="69">
        <f t="shared" si="14"/>
        <v>0</v>
      </c>
      <c r="AJ12" s="69">
        <f t="shared" si="15"/>
        <v>0</v>
      </c>
      <c r="AK12" s="69">
        <f t="shared" si="16"/>
        <v>0</v>
      </c>
    </row>
    <row r="13" spans="1:37">
      <c r="A13" s="421">
        <v>11</v>
      </c>
      <c r="B13" s="546" t="s">
        <v>747</v>
      </c>
      <c r="C13" s="421">
        <v>2</v>
      </c>
      <c r="D13" s="419">
        <f>SUMIFS('boc xe'!U$2:U$27,'boc xe'!$B$2:$B$27,'chia CN boc xe'!$C13)</f>
        <v>0</v>
      </c>
      <c r="E13" s="419">
        <f>SUMIFS('boc xe'!V$2:V$27,'boc xe'!$B$2:$B$27,'chia CN boc xe'!$C13)</f>
        <v>0</v>
      </c>
      <c r="F13" s="419">
        <f>SUMIFS('boc xe'!W$2:W$27,'boc xe'!$B$2:$B$27,'chia CN boc xe'!$C13)</f>
        <v>0</v>
      </c>
      <c r="G13" s="419">
        <f>SUMIFS('boc xe'!X$2:X$27,'boc xe'!$B$2:$B$27,'chia CN boc xe'!$C13)</f>
        <v>16.666666666666668</v>
      </c>
      <c r="H13" s="419">
        <f>SUMIFS('boc xe'!Y$2:Y$27,'boc xe'!$B$2:$B$27,'chia CN boc xe'!$C13)</f>
        <v>0</v>
      </c>
      <c r="I13" s="419">
        <f>SUMIFS('boc xe'!Z$2:Z$27,'boc xe'!$B$2:$B$27,'chia CN boc xe'!$C13)</f>
        <v>15.333333333333334</v>
      </c>
      <c r="J13" s="419">
        <f>SUMIFS('boc xe'!AA$2:AA$27,'boc xe'!$B$2:$B$27,'chia CN boc xe'!$C13)</f>
        <v>0</v>
      </c>
      <c r="K13" s="419">
        <f>SUMIFS('boc xe'!AB$2:AB$27,'boc xe'!$B$2:$B$27,'chia CN boc xe'!$C13)</f>
        <v>0</v>
      </c>
      <c r="L13" s="419">
        <f>SUMIFS('boc xe'!AC$2:AC$27,'boc xe'!$B$2:$B$27,'chia CN boc xe'!$C13)</f>
        <v>0</v>
      </c>
      <c r="M13" s="419">
        <f>SUMIFS('boc xe'!AD$2:AD$27,'boc xe'!$B$2:$B$27,'chia CN boc xe'!$C13)</f>
        <v>0</v>
      </c>
      <c r="N13" s="419">
        <f>SUMIFS('boc xe'!AE$2:AE$27,'boc xe'!$B$2:$B$27,'chia CN boc xe'!$C13)</f>
        <v>0</v>
      </c>
      <c r="O13" s="419">
        <f>SUMIFS('boc xe'!AF$2:AF$27,'boc xe'!$B$2:$B$27,'chia CN boc xe'!$C13)</f>
        <v>0</v>
      </c>
      <c r="P13" s="419">
        <f>SUMIFS('boc xe'!AG$2:AG$27,'boc xe'!$B$2:$B$27,'chia CN boc xe'!$C13)</f>
        <v>0</v>
      </c>
      <c r="Q13" s="419">
        <f>SUMIFS('boc xe'!AH$2:AH$27,'boc xe'!$B$2:$B$27,'chia CN boc xe'!$C13)</f>
        <v>0</v>
      </c>
      <c r="R13" s="419">
        <f>SUMIFS('boc xe'!AI$2:AI$27,'boc xe'!$B$2:$B$27,'chia CN boc xe'!$C13)</f>
        <v>0</v>
      </c>
      <c r="S13" s="419">
        <f>SUMIFS('boc xe'!AJ$2:AJ$27,'boc xe'!$B$2:$B$27,'chia CN boc xe'!$C13)</f>
        <v>8.3333333333333339</v>
      </c>
      <c r="U13" s="67" t="str">
        <f>'BANG LUONG 1'!C22</f>
        <v>Châu Thành Nhân</v>
      </c>
      <c r="V13" s="69">
        <f t="shared" si="1"/>
        <v>0</v>
      </c>
      <c r="W13" s="69">
        <f t="shared" si="2"/>
        <v>0</v>
      </c>
      <c r="X13" s="69">
        <f t="shared" si="3"/>
        <v>0</v>
      </c>
      <c r="Y13" s="69">
        <f t="shared" si="4"/>
        <v>0</v>
      </c>
      <c r="Z13" s="69">
        <f t="shared" si="5"/>
        <v>0</v>
      </c>
      <c r="AA13" s="69">
        <f t="shared" si="6"/>
        <v>0</v>
      </c>
      <c r="AB13" s="69">
        <f t="shared" si="7"/>
        <v>0</v>
      </c>
      <c r="AC13" s="69">
        <f t="shared" si="8"/>
        <v>0</v>
      </c>
      <c r="AD13" s="69">
        <f t="shared" si="9"/>
        <v>0</v>
      </c>
      <c r="AE13" s="69">
        <f t="shared" si="10"/>
        <v>0</v>
      </c>
      <c r="AF13" s="69">
        <f t="shared" si="11"/>
        <v>0</v>
      </c>
      <c r="AG13" s="69">
        <f t="shared" si="12"/>
        <v>0</v>
      </c>
      <c r="AH13" s="69">
        <f t="shared" si="13"/>
        <v>0</v>
      </c>
      <c r="AI13" s="69">
        <f t="shared" si="14"/>
        <v>0</v>
      </c>
      <c r="AJ13" s="69">
        <f t="shared" si="15"/>
        <v>0</v>
      </c>
      <c r="AK13" s="69">
        <f t="shared" si="16"/>
        <v>0</v>
      </c>
    </row>
    <row r="14" spans="1:37">
      <c r="A14" s="421">
        <v>12</v>
      </c>
      <c r="B14" s="546" t="s">
        <v>752</v>
      </c>
      <c r="C14" s="421">
        <v>2</v>
      </c>
      <c r="D14" s="419">
        <f>SUMIFS('boc xe'!U$2:U$27,'boc xe'!$B$2:$B$27,'chia CN boc xe'!$C14)</f>
        <v>0</v>
      </c>
      <c r="E14" s="419">
        <f>SUMIFS('boc xe'!V$2:V$27,'boc xe'!$B$2:$B$27,'chia CN boc xe'!$C14)</f>
        <v>0</v>
      </c>
      <c r="F14" s="419">
        <f>SUMIFS('boc xe'!W$2:W$27,'boc xe'!$B$2:$B$27,'chia CN boc xe'!$C14)</f>
        <v>0</v>
      </c>
      <c r="G14" s="419">
        <f>SUMIFS('boc xe'!X$2:X$27,'boc xe'!$B$2:$B$27,'chia CN boc xe'!$C14)</f>
        <v>16.666666666666668</v>
      </c>
      <c r="H14" s="419">
        <f>SUMIFS('boc xe'!Y$2:Y$27,'boc xe'!$B$2:$B$27,'chia CN boc xe'!$C14)</f>
        <v>0</v>
      </c>
      <c r="I14" s="419">
        <f>SUMIFS('boc xe'!Z$2:Z$27,'boc xe'!$B$2:$B$27,'chia CN boc xe'!$C14)</f>
        <v>15.333333333333334</v>
      </c>
      <c r="J14" s="419">
        <f>SUMIFS('boc xe'!AA$2:AA$27,'boc xe'!$B$2:$B$27,'chia CN boc xe'!$C14)</f>
        <v>0</v>
      </c>
      <c r="K14" s="419">
        <f>SUMIFS('boc xe'!AB$2:AB$27,'boc xe'!$B$2:$B$27,'chia CN boc xe'!$C14)</f>
        <v>0</v>
      </c>
      <c r="L14" s="419">
        <f>SUMIFS('boc xe'!AC$2:AC$27,'boc xe'!$B$2:$B$27,'chia CN boc xe'!$C14)</f>
        <v>0</v>
      </c>
      <c r="M14" s="419">
        <f>SUMIFS('boc xe'!AD$2:AD$27,'boc xe'!$B$2:$B$27,'chia CN boc xe'!$C14)</f>
        <v>0</v>
      </c>
      <c r="N14" s="419">
        <f>SUMIFS('boc xe'!AE$2:AE$27,'boc xe'!$B$2:$B$27,'chia CN boc xe'!$C14)</f>
        <v>0</v>
      </c>
      <c r="O14" s="419">
        <f>SUMIFS('boc xe'!AF$2:AF$27,'boc xe'!$B$2:$B$27,'chia CN boc xe'!$C14)</f>
        <v>0</v>
      </c>
      <c r="P14" s="419">
        <f>SUMIFS('boc xe'!AG$2:AG$27,'boc xe'!$B$2:$B$27,'chia CN boc xe'!$C14)</f>
        <v>0</v>
      </c>
      <c r="Q14" s="419">
        <f>SUMIFS('boc xe'!AH$2:AH$27,'boc xe'!$B$2:$B$27,'chia CN boc xe'!$C14)</f>
        <v>0</v>
      </c>
      <c r="R14" s="419">
        <f>SUMIFS('boc xe'!AI$2:AI$27,'boc xe'!$B$2:$B$27,'chia CN boc xe'!$C14)</f>
        <v>0</v>
      </c>
      <c r="S14" s="419">
        <f>SUMIFS('boc xe'!AJ$2:AJ$27,'boc xe'!$B$2:$B$27,'chia CN boc xe'!$C14)</f>
        <v>8.3333333333333339</v>
      </c>
      <c r="U14" s="67" t="str">
        <f>'BANG LUONG 1'!C20</f>
        <v>Nguyễn Văn Chạy</v>
      </c>
      <c r="V14" s="69">
        <f t="shared" si="1"/>
        <v>0</v>
      </c>
      <c r="W14" s="69">
        <f t="shared" si="2"/>
        <v>0</v>
      </c>
      <c r="X14" s="69">
        <f t="shared" si="3"/>
        <v>0</v>
      </c>
      <c r="Y14" s="69">
        <f t="shared" si="4"/>
        <v>0</v>
      </c>
      <c r="Z14" s="69">
        <f t="shared" si="5"/>
        <v>0</v>
      </c>
      <c r="AA14" s="69">
        <f t="shared" si="6"/>
        <v>0</v>
      </c>
      <c r="AB14" s="69">
        <f t="shared" si="7"/>
        <v>0</v>
      </c>
      <c r="AC14" s="69">
        <f t="shared" si="8"/>
        <v>0</v>
      </c>
      <c r="AD14" s="69">
        <f t="shared" si="9"/>
        <v>0</v>
      </c>
      <c r="AE14" s="69">
        <f t="shared" si="10"/>
        <v>0</v>
      </c>
      <c r="AF14" s="69">
        <f t="shared" si="11"/>
        <v>0</v>
      </c>
      <c r="AG14" s="69">
        <f t="shared" si="12"/>
        <v>0</v>
      </c>
      <c r="AH14" s="69">
        <f t="shared" si="13"/>
        <v>0</v>
      </c>
      <c r="AI14" s="69">
        <f t="shared" si="14"/>
        <v>0</v>
      </c>
      <c r="AJ14" s="69">
        <f t="shared" si="15"/>
        <v>0</v>
      </c>
      <c r="AK14" s="69">
        <f t="shared" si="16"/>
        <v>0</v>
      </c>
    </row>
    <row r="15" spans="1:37">
      <c r="A15" s="421">
        <v>13</v>
      </c>
      <c r="B15" s="546" t="s">
        <v>600</v>
      </c>
      <c r="C15" s="421">
        <v>3</v>
      </c>
      <c r="D15" s="419">
        <f>SUMIFS('boc xe'!U$2:U$27,'boc xe'!$B$2:$B$27,'chia CN boc xe'!$C15)</f>
        <v>40</v>
      </c>
      <c r="E15" s="419">
        <f>SUMIFS('boc xe'!V$2:V$27,'boc xe'!$B$2:$B$27,'chia CN boc xe'!$C15)</f>
        <v>25</v>
      </c>
      <c r="F15" s="419">
        <f>SUMIFS('boc xe'!W$2:W$27,'boc xe'!$B$2:$B$27,'chia CN boc xe'!$C15)</f>
        <v>50</v>
      </c>
      <c r="G15" s="419">
        <f>SUMIFS('boc xe'!X$2:X$27,'boc xe'!$B$2:$B$27,'chia CN boc xe'!$C15)</f>
        <v>11.75</v>
      </c>
      <c r="H15" s="419">
        <f>SUMIFS('boc xe'!Y$2:Y$27,'boc xe'!$B$2:$B$27,'chia CN boc xe'!$C15)</f>
        <v>0</v>
      </c>
      <c r="I15" s="419">
        <f>SUMIFS('boc xe'!Z$2:Z$27,'boc xe'!$B$2:$B$27,'chia CN boc xe'!$C15)</f>
        <v>17.5</v>
      </c>
      <c r="J15" s="419">
        <f>SUMIFS('boc xe'!AA$2:AA$27,'boc xe'!$B$2:$B$27,'chia CN boc xe'!$C15)</f>
        <v>0</v>
      </c>
      <c r="K15" s="419">
        <f>SUMIFS('boc xe'!AB$2:AB$27,'boc xe'!$B$2:$B$27,'chia CN boc xe'!$C15)</f>
        <v>0</v>
      </c>
      <c r="L15" s="419">
        <f>SUMIFS('boc xe'!AC$2:AC$27,'boc xe'!$B$2:$B$27,'chia CN boc xe'!$C15)</f>
        <v>41.25</v>
      </c>
      <c r="M15" s="419">
        <f>SUMIFS('boc xe'!AD$2:AD$27,'boc xe'!$B$2:$B$27,'chia CN boc xe'!$C15)</f>
        <v>13.75</v>
      </c>
      <c r="N15" s="419">
        <f>SUMIFS('boc xe'!AE$2:AE$27,'boc xe'!$B$2:$B$27,'chia CN boc xe'!$C15)</f>
        <v>0</v>
      </c>
      <c r="O15" s="419">
        <f>SUMIFS('boc xe'!AF$2:AF$27,'boc xe'!$B$2:$B$27,'chia CN boc xe'!$C15)</f>
        <v>0</v>
      </c>
      <c r="P15" s="419">
        <f>SUMIFS('boc xe'!AG$2:AG$27,'boc xe'!$B$2:$B$27,'chia CN boc xe'!$C15)</f>
        <v>0</v>
      </c>
      <c r="Q15" s="419">
        <f>SUMIFS('boc xe'!AH$2:AH$27,'boc xe'!$B$2:$B$27,'chia CN boc xe'!$C15)</f>
        <v>1.25</v>
      </c>
      <c r="R15" s="419">
        <f>SUMIFS('boc xe'!AI$2:AI$27,'boc xe'!$B$2:$B$27,'chia CN boc xe'!$C15)</f>
        <v>0</v>
      </c>
      <c r="S15" s="419">
        <f>SUMIFS('boc xe'!AJ$2:AJ$27,'boc xe'!$B$2:$B$27,'chia CN boc xe'!$C15)</f>
        <v>0</v>
      </c>
      <c r="U15" s="67" t="str">
        <f>'BANG LUONG 1'!C21</f>
        <v>Hà Hoàng Hùng</v>
      </c>
      <c r="V15" s="69">
        <f t="shared" si="1"/>
        <v>0</v>
      </c>
      <c r="W15" s="69">
        <f t="shared" si="2"/>
        <v>0</v>
      </c>
      <c r="X15" s="69">
        <f t="shared" si="3"/>
        <v>0</v>
      </c>
      <c r="Y15" s="69">
        <f t="shared" si="4"/>
        <v>0</v>
      </c>
      <c r="Z15" s="69">
        <f t="shared" si="5"/>
        <v>0</v>
      </c>
      <c r="AA15" s="69">
        <f t="shared" si="6"/>
        <v>0</v>
      </c>
      <c r="AB15" s="69">
        <f t="shared" si="7"/>
        <v>0</v>
      </c>
      <c r="AC15" s="69">
        <f t="shared" si="8"/>
        <v>0</v>
      </c>
      <c r="AD15" s="69">
        <f t="shared" si="9"/>
        <v>0</v>
      </c>
      <c r="AE15" s="69">
        <f t="shared" si="10"/>
        <v>0</v>
      </c>
      <c r="AF15" s="69">
        <f t="shared" si="11"/>
        <v>0</v>
      </c>
      <c r="AG15" s="69">
        <f t="shared" si="12"/>
        <v>0</v>
      </c>
      <c r="AH15" s="69">
        <f t="shared" si="13"/>
        <v>0</v>
      </c>
      <c r="AI15" s="69">
        <f t="shared" si="14"/>
        <v>0</v>
      </c>
      <c r="AJ15" s="69">
        <f t="shared" si="15"/>
        <v>0</v>
      </c>
      <c r="AK15" s="69">
        <f t="shared" si="16"/>
        <v>0</v>
      </c>
    </row>
    <row r="16" spans="1:37">
      <c r="A16" s="421">
        <v>14</v>
      </c>
      <c r="B16" s="546" t="s">
        <v>604</v>
      </c>
      <c r="C16" s="421">
        <v>3</v>
      </c>
      <c r="D16" s="419">
        <f>SUMIFS('boc xe'!U$2:U$27,'boc xe'!$B$2:$B$27,'chia CN boc xe'!$C16)</f>
        <v>40</v>
      </c>
      <c r="E16" s="419">
        <f>SUMIFS('boc xe'!V$2:V$27,'boc xe'!$B$2:$B$27,'chia CN boc xe'!$C16)</f>
        <v>25</v>
      </c>
      <c r="F16" s="419">
        <f>SUMIFS('boc xe'!W$2:W$27,'boc xe'!$B$2:$B$27,'chia CN boc xe'!$C16)</f>
        <v>50</v>
      </c>
      <c r="G16" s="419">
        <f>SUMIFS('boc xe'!X$2:X$27,'boc xe'!$B$2:$B$27,'chia CN boc xe'!$C16)</f>
        <v>11.75</v>
      </c>
      <c r="H16" s="419">
        <f>SUMIFS('boc xe'!Y$2:Y$27,'boc xe'!$B$2:$B$27,'chia CN boc xe'!$C16)</f>
        <v>0</v>
      </c>
      <c r="I16" s="419">
        <f>SUMIFS('boc xe'!Z$2:Z$27,'boc xe'!$B$2:$B$27,'chia CN boc xe'!$C16)</f>
        <v>17.5</v>
      </c>
      <c r="J16" s="419">
        <f>SUMIFS('boc xe'!AA$2:AA$27,'boc xe'!$B$2:$B$27,'chia CN boc xe'!$C16)</f>
        <v>0</v>
      </c>
      <c r="K16" s="419">
        <f>SUMIFS('boc xe'!AB$2:AB$27,'boc xe'!$B$2:$B$27,'chia CN boc xe'!$C16)</f>
        <v>0</v>
      </c>
      <c r="L16" s="419">
        <f>SUMIFS('boc xe'!AC$2:AC$27,'boc xe'!$B$2:$B$27,'chia CN boc xe'!$C16)</f>
        <v>41.25</v>
      </c>
      <c r="M16" s="419">
        <f>SUMIFS('boc xe'!AD$2:AD$27,'boc xe'!$B$2:$B$27,'chia CN boc xe'!$C16)</f>
        <v>13.75</v>
      </c>
      <c r="N16" s="419">
        <f>SUMIFS('boc xe'!AE$2:AE$27,'boc xe'!$B$2:$B$27,'chia CN boc xe'!$C16)</f>
        <v>0</v>
      </c>
      <c r="O16" s="419">
        <f>SUMIFS('boc xe'!AF$2:AF$27,'boc xe'!$B$2:$B$27,'chia CN boc xe'!$C16)</f>
        <v>0</v>
      </c>
      <c r="P16" s="419">
        <f>SUMIFS('boc xe'!AG$2:AG$27,'boc xe'!$B$2:$B$27,'chia CN boc xe'!$C16)</f>
        <v>0</v>
      </c>
      <c r="Q16" s="419">
        <f>SUMIFS('boc xe'!AH$2:AH$27,'boc xe'!$B$2:$B$27,'chia CN boc xe'!$C16)</f>
        <v>1.25</v>
      </c>
      <c r="R16" s="419">
        <f>SUMIFS('boc xe'!AI$2:AI$27,'boc xe'!$B$2:$B$27,'chia CN boc xe'!$C16)</f>
        <v>0</v>
      </c>
      <c r="S16" s="419">
        <f>SUMIFS('boc xe'!AJ$2:AJ$27,'boc xe'!$B$2:$B$27,'chia CN boc xe'!$C16)</f>
        <v>0</v>
      </c>
      <c r="U16" s="67" t="e">
        <f>'BANG LUONG 1'!#REF!</f>
        <v>#REF!</v>
      </c>
      <c r="V16" s="69">
        <f t="shared" si="1"/>
        <v>0</v>
      </c>
      <c r="W16" s="69">
        <f t="shared" si="2"/>
        <v>0</v>
      </c>
      <c r="X16" s="69">
        <f t="shared" si="3"/>
        <v>0</v>
      </c>
      <c r="Y16" s="69">
        <f t="shared" si="4"/>
        <v>0</v>
      </c>
      <c r="Z16" s="69">
        <f t="shared" si="5"/>
        <v>0</v>
      </c>
      <c r="AA16" s="69">
        <f t="shared" si="6"/>
        <v>0</v>
      </c>
      <c r="AB16" s="69">
        <f t="shared" si="7"/>
        <v>0</v>
      </c>
      <c r="AC16" s="69">
        <f t="shared" si="8"/>
        <v>0</v>
      </c>
      <c r="AD16" s="69">
        <f t="shared" si="9"/>
        <v>0</v>
      </c>
      <c r="AE16" s="69">
        <f t="shared" si="10"/>
        <v>0</v>
      </c>
      <c r="AF16" s="69">
        <f t="shared" si="11"/>
        <v>0</v>
      </c>
      <c r="AG16" s="69">
        <f t="shared" si="12"/>
        <v>0</v>
      </c>
      <c r="AH16" s="69">
        <f t="shared" si="13"/>
        <v>0</v>
      </c>
      <c r="AI16" s="69">
        <f t="shared" si="14"/>
        <v>0</v>
      </c>
      <c r="AJ16" s="69">
        <f t="shared" si="15"/>
        <v>0</v>
      </c>
      <c r="AK16" s="69">
        <f t="shared" si="16"/>
        <v>0</v>
      </c>
    </row>
    <row r="17" spans="1:37">
      <c r="A17" s="421">
        <v>15</v>
      </c>
      <c r="B17" s="545" t="s">
        <v>625</v>
      </c>
      <c r="C17" s="421">
        <v>3</v>
      </c>
      <c r="D17" s="419">
        <f>SUMIFS('boc xe'!U$2:U$27,'boc xe'!$B$2:$B$27,'chia CN boc xe'!$C17)</f>
        <v>40</v>
      </c>
      <c r="E17" s="419">
        <f>SUMIFS('boc xe'!V$2:V$27,'boc xe'!$B$2:$B$27,'chia CN boc xe'!$C17)</f>
        <v>25</v>
      </c>
      <c r="F17" s="419">
        <f>SUMIFS('boc xe'!W$2:W$27,'boc xe'!$B$2:$B$27,'chia CN boc xe'!$C17)</f>
        <v>50</v>
      </c>
      <c r="G17" s="419">
        <f>SUMIFS('boc xe'!X$2:X$27,'boc xe'!$B$2:$B$27,'chia CN boc xe'!$C17)</f>
        <v>11.75</v>
      </c>
      <c r="H17" s="419">
        <f>SUMIFS('boc xe'!Y$2:Y$27,'boc xe'!$B$2:$B$27,'chia CN boc xe'!$C17)</f>
        <v>0</v>
      </c>
      <c r="I17" s="419">
        <f>SUMIFS('boc xe'!Z$2:Z$27,'boc xe'!$B$2:$B$27,'chia CN boc xe'!$C17)</f>
        <v>17.5</v>
      </c>
      <c r="J17" s="419">
        <f>SUMIFS('boc xe'!AA$2:AA$27,'boc xe'!$B$2:$B$27,'chia CN boc xe'!$C17)</f>
        <v>0</v>
      </c>
      <c r="K17" s="419">
        <f>SUMIFS('boc xe'!AB$2:AB$27,'boc xe'!$B$2:$B$27,'chia CN boc xe'!$C17)</f>
        <v>0</v>
      </c>
      <c r="L17" s="419">
        <f>SUMIFS('boc xe'!AC$2:AC$27,'boc xe'!$B$2:$B$27,'chia CN boc xe'!$C17)</f>
        <v>41.25</v>
      </c>
      <c r="M17" s="419">
        <f>SUMIFS('boc xe'!AD$2:AD$27,'boc xe'!$B$2:$B$27,'chia CN boc xe'!$C17)</f>
        <v>13.75</v>
      </c>
      <c r="N17" s="419">
        <f>SUMIFS('boc xe'!AE$2:AE$27,'boc xe'!$B$2:$B$27,'chia CN boc xe'!$C17)</f>
        <v>0</v>
      </c>
      <c r="O17" s="419">
        <f>SUMIFS('boc xe'!AF$2:AF$27,'boc xe'!$B$2:$B$27,'chia CN boc xe'!$C17)</f>
        <v>0</v>
      </c>
      <c r="P17" s="419">
        <f>SUMIFS('boc xe'!AG$2:AG$27,'boc xe'!$B$2:$B$27,'chia CN boc xe'!$C17)</f>
        <v>0</v>
      </c>
      <c r="Q17" s="419">
        <f>SUMIFS('boc xe'!AH$2:AH$27,'boc xe'!$B$2:$B$27,'chia CN boc xe'!$C17)</f>
        <v>1.25</v>
      </c>
      <c r="R17" s="419">
        <f>SUMIFS('boc xe'!AI$2:AI$27,'boc xe'!$B$2:$B$27,'chia CN boc xe'!$C17)</f>
        <v>0</v>
      </c>
      <c r="S17" s="419">
        <f>SUMIFS('boc xe'!AJ$2:AJ$27,'boc xe'!$B$2:$B$27,'chia CN boc xe'!$C17)</f>
        <v>0</v>
      </c>
      <c r="U17" s="67" t="str">
        <f>'BANG LUONG 1'!C23</f>
        <v>Châu Văn Phước</v>
      </c>
      <c r="V17" s="69">
        <f t="shared" si="1"/>
        <v>0</v>
      </c>
      <c r="W17" s="69">
        <f t="shared" si="2"/>
        <v>0</v>
      </c>
      <c r="X17" s="69">
        <f t="shared" si="3"/>
        <v>0</v>
      </c>
      <c r="Y17" s="69">
        <f t="shared" si="4"/>
        <v>0</v>
      </c>
      <c r="Z17" s="69">
        <f t="shared" si="5"/>
        <v>0</v>
      </c>
      <c r="AA17" s="69">
        <f t="shared" si="6"/>
        <v>0</v>
      </c>
      <c r="AB17" s="69">
        <f t="shared" si="7"/>
        <v>0</v>
      </c>
      <c r="AC17" s="69">
        <f t="shared" si="8"/>
        <v>0</v>
      </c>
      <c r="AD17" s="69">
        <f t="shared" si="9"/>
        <v>0</v>
      </c>
      <c r="AE17" s="69">
        <f t="shared" si="10"/>
        <v>0</v>
      </c>
      <c r="AF17" s="69">
        <f t="shared" si="11"/>
        <v>0</v>
      </c>
      <c r="AG17" s="69">
        <f t="shared" si="12"/>
        <v>0</v>
      </c>
      <c r="AH17" s="69">
        <f t="shared" si="13"/>
        <v>0</v>
      </c>
      <c r="AI17" s="69">
        <f t="shared" si="14"/>
        <v>0</v>
      </c>
      <c r="AJ17" s="69">
        <f t="shared" si="15"/>
        <v>0</v>
      </c>
      <c r="AK17" s="69">
        <f t="shared" si="16"/>
        <v>0</v>
      </c>
    </row>
    <row r="18" spans="1:37">
      <c r="A18" s="421">
        <v>16</v>
      </c>
      <c r="B18" s="545" t="s">
        <v>700</v>
      </c>
      <c r="C18" s="421">
        <v>3</v>
      </c>
      <c r="D18" s="419">
        <f>SUMIFS('boc xe'!U$2:U$27,'boc xe'!$B$2:$B$27,'chia CN boc xe'!$C18)</f>
        <v>40</v>
      </c>
      <c r="E18" s="419">
        <f>SUMIFS('boc xe'!V$2:V$27,'boc xe'!$B$2:$B$27,'chia CN boc xe'!$C18)</f>
        <v>25</v>
      </c>
      <c r="F18" s="419">
        <f>SUMIFS('boc xe'!W$2:W$27,'boc xe'!$B$2:$B$27,'chia CN boc xe'!$C18)</f>
        <v>50</v>
      </c>
      <c r="G18" s="419">
        <f>SUMIFS('boc xe'!X$2:X$27,'boc xe'!$B$2:$B$27,'chia CN boc xe'!$C18)</f>
        <v>11.75</v>
      </c>
      <c r="H18" s="419">
        <f>SUMIFS('boc xe'!Y$2:Y$27,'boc xe'!$B$2:$B$27,'chia CN boc xe'!$C18)</f>
        <v>0</v>
      </c>
      <c r="I18" s="419">
        <f>SUMIFS('boc xe'!Z$2:Z$27,'boc xe'!$B$2:$B$27,'chia CN boc xe'!$C18)</f>
        <v>17.5</v>
      </c>
      <c r="J18" s="419">
        <f>SUMIFS('boc xe'!AA$2:AA$27,'boc xe'!$B$2:$B$27,'chia CN boc xe'!$C18)</f>
        <v>0</v>
      </c>
      <c r="K18" s="419">
        <f>SUMIFS('boc xe'!AB$2:AB$27,'boc xe'!$B$2:$B$27,'chia CN boc xe'!$C18)</f>
        <v>0</v>
      </c>
      <c r="L18" s="419">
        <f>SUMIFS('boc xe'!AC$2:AC$27,'boc xe'!$B$2:$B$27,'chia CN boc xe'!$C18)</f>
        <v>41.25</v>
      </c>
      <c r="M18" s="419">
        <f>SUMIFS('boc xe'!AD$2:AD$27,'boc xe'!$B$2:$B$27,'chia CN boc xe'!$C18)</f>
        <v>13.75</v>
      </c>
      <c r="N18" s="419">
        <f>SUMIFS('boc xe'!AE$2:AE$27,'boc xe'!$B$2:$B$27,'chia CN boc xe'!$C18)</f>
        <v>0</v>
      </c>
      <c r="O18" s="419">
        <f>SUMIFS('boc xe'!AF$2:AF$27,'boc xe'!$B$2:$B$27,'chia CN boc xe'!$C18)</f>
        <v>0</v>
      </c>
      <c r="P18" s="419">
        <f>SUMIFS('boc xe'!AG$2:AG$27,'boc xe'!$B$2:$B$27,'chia CN boc xe'!$C18)</f>
        <v>0</v>
      </c>
      <c r="Q18" s="419">
        <f>SUMIFS('boc xe'!AH$2:AH$27,'boc xe'!$B$2:$B$27,'chia CN boc xe'!$C18)</f>
        <v>1.25</v>
      </c>
      <c r="R18" s="419">
        <f>SUMIFS('boc xe'!AI$2:AI$27,'boc xe'!$B$2:$B$27,'chia CN boc xe'!$C18)</f>
        <v>0</v>
      </c>
      <c r="S18" s="419">
        <f>SUMIFS('boc xe'!AJ$2:AJ$27,'boc xe'!$B$2:$B$27,'chia CN boc xe'!$C18)</f>
        <v>0</v>
      </c>
      <c r="U18" s="545" t="e">
        <f>'BANG LUONG 1'!#REF!</f>
        <v>#REF!</v>
      </c>
      <c r="V18" s="81">
        <f t="shared" si="1"/>
        <v>0</v>
      </c>
      <c r="W18" s="81">
        <f t="shared" si="2"/>
        <v>0</v>
      </c>
      <c r="X18" s="81">
        <f t="shared" si="3"/>
        <v>0</v>
      </c>
      <c r="Y18" s="81">
        <f t="shared" si="4"/>
        <v>0</v>
      </c>
      <c r="Z18" s="81">
        <f t="shared" si="5"/>
        <v>0</v>
      </c>
      <c r="AA18" s="81">
        <f t="shared" si="6"/>
        <v>0</v>
      </c>
      <c r="AB18" s="81">
        <f t="shared" si="7"/>
        <v>0</v>
      </c>
      <c r="AC18" s="81">
        <f t="shared" si="8"/>
        <v>0</v>
      </c>
      <c r="AD18" s="81">
        <f t="shared" si="9"/>
        <v>0</v>
      </c>
      <c r="AE18" s="81">
        <f t="shared" si="10"/>
        <v>0</v>
      </c>
      <c r="AF18" s="81">
        <f t="shared" si="11"/>
        <v>0</v>
      </c>
      <c r="AG18" s="81">
        <f t="shared" si="12"/>
        <v>0</v>
      </c>
      <c r="AH18" s="81">
        <f t="shared" si="13"/>
        <v>0</v>
      </c>
      <c r="AI18" s="81">
        <f t="shared" si="14"/>
        <v>0</v>
      </c>
      <c r="AJ18" s="81">
        <f t="shared" si="15"/>
        <v>0</v>
      </c>
      <c r="AK18" s="81">
        <f t="shared" si="16"/>
        <v>0</v>
      </c>
    </row>
    <row r="19" spans="1:37">
      <c r="A19" s="421">
        <v>17</v>
      </c>
      <c r="B19" s="545" t="s">
        <v>617</v>
      </c>
      <c r="C19" s="421">
        <v>4</v>
      </c>
      <c r="D19" s="419">
        <f>SUMIFS('boc xe'!U$2:U$27,'boc xe'!$B$2:$B$27,'chia CN boc xe'!$C19)</f>
        <v>0</v>
      </c>
      <c r="E19" s="419">
        <f>SUMIFS('boc xe'!V$2:V$27,'boc xe'!$B$2:$B$27,'chia CN boc xe'!$C19)</f>
        <v>0</v>
      </c>
      <c r="F19" s="419">
        <f>SUMIFS('boc xe'!W$2:W$27,'boc xe'!$B$2:$B$27,'chia CN boc xe'!$C19)</f>
        <v>0</v>
      </c>
      <c r="G19" s="419">
        <f>SUMIFS('boc xe'!X$2:X$27,'boc xe'!$B$2:$B$27,'chia CN boc xe'!$C19)</f>
        <v>0</v>
      </c>
      <c r="H19" s="419">
        <f>SUMIFS('boc xe'!Y$2:Y$27,'boc xe'!$B$2:$B$27,'chia CN boc xe'!$C19)</f>
        <v>0</v>
      </c>
      <c r="I19" s="419">
        <f>SUMIFS('boc xe'!Z$2:Z$27,'boc xe'!$B$2:$B$27,'chia CN boc xe'!$C19)</f>
        <v>16.666666666666668</v>
      </c>
      <c r="J19" s="419">
        <f>SUMIFS('boc xe'!AA$2:AA$27,'boc xe'!$B$2:$B$27,'chia CN boc xe'!$C19)</f>
        <v>0</v>
      </c>
      <c r="K19" s="419">
        <f>SUMIFS('boc xe'!AB$2:AB$27,'boc xe'!$B$2:$B$27,'chia CN boc xe'!$C19)</f>
        <v>0</v>
      </c>
      <c r="L19" s="419">
        <f>SUMIFS('boc xe'!AC$2:AC$27,'boc xe'!$B$2:$B$27,'chia CN boc xe'!$C19)</f>
        <v>0</v>
      </c>
      <c r="M19" s="419">
        <f>SUMIFS('boc xe'!AD$2:AD$27,'boc xe'!$B$2:$B$27,'chia CN boc xe'!$C19)</f>
        <v>0</v>
      </c>
      <c r="N19" s="419">
        <f>SUMIFS('boc xe'!AE$2:AE$27,'boc xe'!$B$2:$B$27,'chia CN boc xe'!$C19)</f>
        <v>0</v>
      </c>
      <c r="O19" s="419">
        <f>SUMIFS('boc xe'!AF$2:AF$27,'boc xe'!$B$2:$B$27,'chia CN boc xe'!$C19)</f>
        <v>0</v>
      </c>
      <c r="P19" s="419">
        <f>SUMIFS('boc xe'!AG$2:AG$27,'boc xe'!$B$2:$B$27,'chia CN boc xe'!$C19)</f>
        <v>0</v>
      </c>
      <c r="Q19" s="419">
        <f>SUMIFS('boc xe'!AH$2:AH$27,'boc xe'!$B$2:$B$27,'chia CN boc xe'!$C19)</f>
        <v>0</v>
      </c>
      <c r="R19" s="419">
        <f>SUMIFS('boc xe'!AI$2:AI$27,'boc xe'!$B$2:$B$27,'chia CN boc xe'!$C19)</f>
        <v>0</v>
      </c>
      <c r="S19" s="419">
        <f>SUMIFS('boc xe'!AJ$2:AJ$27,'boc xe'!$B$2:$B$27,'chia CN boc xe'!$C19)</f>
        <v>0</v>
      </c>
      <c r="U19" s="546" t="e">
        <f>'BANG LUONG 1'!#REF!</f>
        <v>#REF!</v>
      </c>
      <c r="V19" s="81">
        <f t="shared" si="1"/>
        <v>0</v>
      </c>
      <c r="W19" s="81">
        <f t="shared" si="2"/>
        <v>0</v>
      </c>
      <c r="X19" s="81">
        <f t="shared" si="3"/>
        <v>0</v>
      </c>
      <c r="Y19" s="81">
        <f t="shared" si="4"/>
        <v>0</v>
      </c>
      <c r="Z19" s="81">
        <f t="shared" si="5"/>
        <v>0</v>
      </c>
      <c r="AA19" s="81">
        <f t="shared" si="6"/>
        <v>0</v>
      </c>
      <c r="AB19" s="81">
        <f t="shared" si="7"/>
        <v>0</v>
      </c>
      <c r="AC19" s="81">
        <f t="shared" si="8"/>
        <v>0</v>
      </c>
      <c r="AD19" s="81">
        <f t="shared" si="9"/>
        <v>0</v>
      </c>
      <c r="AE19" s="81">
        <f t="shared" si="10"/>
        <v>0</v>
      </c>
      <c r="AF19" s="81">
        <f t="shared" si="11"/>
        <v>0</v>
      </c>
      <c r="AG19" s="81">
        <f t="shared" si="12"/>
        <v>0</v>
      </c>
      <c r="AH19" s="81">
        <f t="shared" si="13"/>
        <v>0</v>
      </c>
      <c r="AI19" s="81">
        <f t="shared" si="14"/>
        <v>0</v>
      </c>
      <c r="AJ19" s="81">
        <f t="shared" si="15"/>
        <v>0</v>
      </c>
      <c r="AK19" s="81">
        <f t="shared" si="16"/>
        <v>0</v>
      </c>
    </row>
    <row r="20" spans="1:37">
      <c r="A20" s="421">
        <v>18</v>
      </c>
      <c r="B20" s="545" t="s">
        <v>618</v>
      </c>
      <c r="C20" s="421">
        <v>4</v>
      </c>
      <c r="D20" s="419">
        <f>SUMIFS('boc xe'!U$2:U$27,'boc xe'!$B$2:$B$27,'chia CN boc xe'!$C20)</f>
        <v>0</v>
      </c>
      <c r="E20" s="419">
        <f>SUMIFS('boc xe'!V$2:V$27,'boc xe'!$B$2:$B$27,'chia CN boc xe'!$C20)</f>
        <v>0</v>
      </c>
      <c r="F20" s="419">
        <f>SUMIFS('boc xe'!W$2:W$27,'boc xe'!$B$2:$B$27,'chia CN boc xe'!$C20)</f>
        <v>0</v>
      </c>
      <c r="G20" s="419">
        <f>SUMIFS('boc xe'!X$2:X$27,'boc xe'!$B$2:$B$27,'chia CN boc xe'!$C20)</f>
        <v>0</v>
      </c>
      <c r="H20" s="419">
        <f>SUMIFS('boc xe'!Y$2:Y$27,'boc xe'!$B$2:$B$27,'chia CN boc xe'!$C20)</f>
        <v>0</v>
      </c>
      <c r="I20" s="419">
        <f>SUMIFS('boc xe'!Z$2:Z$27,'boc xe'!$B$2:$B$27,'chia CN boc xe'!$C20)</f>
        <v>16.666666666666668</v>
      </c>
      <c r="J20" s="419">
        <f>SUMIFS('boc xe'!AA$2:AA$27,'boc xe'!$B$2:$B$27,'chia CN boc xe'!$C20)</f>
        <v>0</v>
      </c>
      <c r="K20" s="419">
        <f>SUMIFS('boc xe'!AB$2:AB$27,'boc xe'!$B$2:$B$27,'chia CN boc xe'!$C20)</f>
        <v>0</v>
      </c>
      <c r="L20" s="419">
        <f>SUMIFS('boc xe'!AC$2:AC$27,'boc xe'!$B$2:$B$27,'chia CN boc xe'!$C20)</f>
        <v>0</v>
      </c>
      <c r="M20" s="419">
        <f>SUMIFS('boc xe'!AD$2:AD$27,'boc xe'!$B$2:$B$27,'chia CN boc xe'!$C20)</f>
        <v>0</v>
      </c>
      <c r="N20" s="419">
        <f>SUMIFS('boc xe'!AE$2:AE$27,'boc xe'!$B$2:$B$27,'chia CN boc xe'!$C20)</f>
        <v>0</v>
      </c>
      <c r="O20" s="419">
        <f>SUMIFS('boc xe'!AF$2:AF$27,'boc xe'!$B$2:$B$27,'chia CN boc xe'!$C20)</f>
        <v>0</v>
      </c>
      <c r="P20" s="419">
        <f>SUMIFS('boc xe'!AG$2:AG$27,'boc xe'!$B$2:$B$27,'chia CN boc xe'!$C20)</f>
        <v>0</v>
      </c>
      <c r="Q20" s="419">
        <f>SUMIFS('boc xe'!AH$2:AH$27,'boc xe'!$B$2:$B$27,'chia CN boc xe'!$C20)</f>
        <v>0</v>
      </c>
      <c r="R20" s="419">
        <f>SUMIFS('boc xe'!AI$2:AI$27,'boc xe'!$B$2:$B$27,'chia CN boc xe'!$C20)</f>
        <v>0</v>
      </c>
      <c r="S20" s="419">
        <f>SUMIFS('boc xe'!AJ$2:AJ$27,'boc xe'!$B$2:$B$27,'chia CN boc xe'!$C20)</f>
        <v>0</v>
      </c>
      <c r="U20" s="254" t="e">
        <f>'BANG LUONG 1'!#REF!</f>
        <v>#REF!</v>
      </c>
      <c r="V20" s="81">
        <f t="shared" si="1"/>
        <v>0</v>
      </c>
      <c r="W20" s="81">
        <f t="shared" si="2"/>
        <v>0</v>
      </c>
      <c r="X20" s="81">
        <f t="shared" si="3"/>
        <v>0</v>
      </c>
      <c r="Y20" s="81">
        <f t="shared" si="4"/>
        <v>0</v>
      </c>
      <c r="Z20" s="81">
        <f t="shared" si="5"/>
        <v>0</v>
      </c>
      <c r="AA20" s="81">
        <f t="shared" si="6"/>
        <v>0</v>
      </c>
      <c r="AB20" s="81">
        <f t="shared" si="7"/>
        <v>0</v>
      </c>
      <c r="AC20" s="81">
        <f t="shared" si="8"/>
        <v>0</v>
      </c>
      <c r="AD20" s="81">
        <f t="shared" si="9"/>
        <v>0</v>
      </c>
      <c r="AE20" s="81">
        <f t="shared" si="10"/>
        <v>0</v>
      </c>
      <c r="AF20" s="81">
        <f t="shared" si="11"/>
        <v>0</v>
      </c>
      <c r="AG20" s="81">
        <f t="shared" si="12"/>
        <v>0</v>
      </c>
      <c r="AH20" s="81">
        <f t="shared" si="13"/>
        <v>0</v>
      </c>
      <c r="AI20" s="81">
        <f t="shared" si="14"/>
        <v>0</v>
      </c>
      <c r="AJ20" s="81">
        <f t="shared" si="15"/>
        <v>0</v>
      </c>
      <c r="AK20" s="81">
        <f t="shared" si="16"/>
        <v>0</v>
      </c>
    </row>
    <row r="21" spans="1:37">
      <c r="A21" s="421">
        <v>19</v>
      </c>
      <c r="B21" s="545" t="s">
        <v>620</v>
      </c>
      <c r="C21" s="421">
        <v>4</v>
      </c>
      <c r="D21" s="419">
        <f>SUMIFS('boc xe'!U$2:U$27,'boc xe'!$B$2:$B$27,'chia CN boc xe'!$C21)</f>
        <v>0</v>
      </c>
      <c r="E21" s="419">
        <f>SUMIFS('boc xe'!V$2:V$27,'boc xe'!$B$2:$B$27,'chia CN boc xe'!$C21)</f>
        <v>0</v>
      </c>
      <c r="F21" s="419">
        <f>SUMIFS('boc xe'!W$2:W$27,'boc xe'!$B$2:$B$27,'chia CN boc xe'!$C21)</f>
        <v>0</v>
      </c>
      <c r="G21" s="419">
        <f>SUMIFS('boc xe'!X$2:X$27,'boc xe'!$B$2:$B$27,'chia CN boc xe'!$C21)</f>
        <v>0</v>
      </c>
      <c r="H21" s="419">
        <f>SUMIFS('boc xe'!Y$2:Y$27,'boc xe'!$B$2:$B$27,'chia CN boc xe'!$C21)</f>
        <v>0</v>
      </c>
      <c r="I21" s="419">
        <f>SUMIFS('boc xe'!Z$2:Z$27,'boc xe'!$B$2:$B$27,'chia CN boc xe'!$C21)</f>
        <v>16.666666666666668</v>
      </c>
      <c r="J21" s="419">
        <f>SUMIFS('boc xe'!AA$2:AA$27,'boc xe'!$B$2:$B$27,'chia CN boc xe'!$C21)</f>
        <v>0</v>
      </c>
      <c r="K21" s="419">
        <f>SUMIFS('boc xe'!AB$2:AB$27,'boc xe'!$B$2:$B$27,'chia CN boc xe'!$C21)</f>
        <v>0</v>
      </c>
      <c r="L21" s="419">
        <f>SUMIFS('boc xe'!AC$2:AC$27,'boc xe'!$B$2:$B$27,'chia CN boc xe'!$C21)</f>
        <v>0</v>
      </c>
      <c r="M21" s="419">
        <f>SUMIFS('boc xe'!AD$2:AD$27,'boc xe'!$B$2:$B$27,'chia CN boc xe'!$C21)</f>
        <v>0</v>
      </c>
      <c r="N21" s="419">
        <f>SUMIFS('boc xe'!AE$2:AE$27,'boc xe'!$B$2:$B$27,'chia CN boc xe'!$C21)</f>
        <v>0</v>
      </c>
      <c r="O21" s="419">
        <f>SUMIFS('boc xe'!AF$2:AF$27,'boc xe'!$B$2:$B$27,'chia CN boc xe'!$C21)</f>
        <v>0</v>
      </c>
      <c r="P21" s="419">
        <f>SUMIFS('boc xe'!AG$2:AG$27,'boc xe'!$B$2:$B$27,'chia CN boc xe'!$C21)</f>
        <v>0</v>
      </c>
      <c r="Q21" s="419">
        <f>SUMIFS('boc xe'!AH$2:AH$27,'boc xe'!$B$2:$B$27,'chia CN boc xe'!$C21)</f>
        <v>0</v>
      </c>
      <c r="R21" s="419">
        <f>SUMIFS('boc xe'!AI$2:AI$27,'boc xe'!$B$2:$B$27,'chia CN boc xe'!$C21)</f>
        <v>0</v>
      </c>
      <c r="S21" s="419">
        <f>SUMIFS('boc xe'!AJ$2:AJ$27,'boc xe'!$B$2:$B$27,'chia CN boc xe'!$C21)</f>
        <v>0</v>
      </c>
      <c r="U21" s="254" t="str">
        <f>'BANG LUONG 1'!C49</f>
        <v>Triệu Minh Tuấn</v>
      </c>
      <c r="V21" s="81">
        <f t="shared" si="1"/>
        <v>0</v>
      </c>
      <c r="W21" s="81">
        <f t="shared" si="2"/>
        <v>0</v>
      </c>
      <c r="X21" s="81">
        <f t="shared" si="3"/>
        <v>0</v>
      </c>
      <c r="Y21" s="81">
        <f t="shared" si="4"/>
        <v>0</v>
      </c>
      <c r="Z21" s="81">
        <f t="shared" si="5"/>
        <v>0</v>
      </c>
      <c r="AA21" s="81">
        <f t="shared" si="6"/>
        <v>0</v>
      </c>
      <c r="AB21" s="81">
        <f t="shared" si="7"/>
        <v>0</v>
      </c>
      <c r="AC21" s="81">
        <f t="shared" si="8"/>
        <v>0</v>
      </c>
      <c r="AD21" s="81">
        <f t="shared" si="9"/>
        <v>0</v>
      </c>
      <c r="AE21" s="81">
        <f t="shared" si="10"/>
        <v>0</v>
      </c>
      <c r="AF21" s="81">
        <f t="shared" si="11"/>
        <v>0</v>
      </c>
      <c r="AG21" s="81">
        <f t="shared" si="12"/>
        <v>0</v>
      </c>
      <c r="AH21" s="81">
        <f t="shared" si="13"/>
        <v>0</v>
      </c>
      <c r="AI21" s="81">
        <f t="shared" si="14"/>
        <v>0</v>
      </c>
      <c r="AJ21" s="81">
        <f t="shared" si="15"/>
        <v>0</v>
      </c>
      <c r="AK21" s="81">
        <f t="shared" si="16"/>
        <v>0</v>
      </c>
    </row>
    <row r="22" spans="1:37">
      <c r="A22" s="421">
        <v>20</v>
      </c>
      <c r="B22" s="545" t="s">
        <v>743</v>
      </c>
      <c r="C22" s="421">
        <v>4</v>
      </c>
      <c r="D22" s="419">
        <f>SUMIFS('boc xe'!U$2:U$27,'boc xe'!$B$2:$B$27,'chia CN boc xe'!$C22)</f>
        <v>0</v>
      </c>
      <c r="E22" s="419">
        <f>SUMIFS('boc xe'!V$2:V$27,'boc xe'!$B$2:$B$27,'chia CN boc xe'!$C22)</f>
        <v>0</v>
      </c>
      <c r="F22" s="419">
        <f>SUMIFS('boc xe'!W$2:W$27,'boc xe'!$B$2:$B$27,'chia CN boc xe'!$C22)</f>
        <v>0</v>
      </c>
      <c r="G22" s="419">
        <f>SUMIFS('boc xe'!X$2:X$27,'boc xe'!$B$2:$B$27,'chia CN boc xe'!$C22)</f>
        <v>0</v>
      </c>
      <c r="H22" s="419">
        <f>SUMIFS('boc xe'!Y$2:Y$27,'boc xe'!$B$2:$B$27,'chia CN boc xe'!$C22)</f>
        <v>0</v>
      </c>
      <c r="I22" s="419">
        <f>SUMIFS('boc xe'!Z$2:Z$27,'boc xe'!$B$2:$B$27,'chia CN boc xe'!$C22)</f>
        <v>16.666666666666668</v>
      </c>
      <c r="J22" s="419">
        <f>SUMIFS('boc xe'!AA$2:AA$27,'boc xe'!$B$2:$B$27,'chia CN boc xe'!$C22)</f>
        <v>0</v>
      </c>
      <c r="K22" s="419">
        <f>SUMIFS('boc xe'!AB$2:AB$27,'boc xe'!$B$2:$B$27,'chia CN boc xe'!$C22)</f>
        <v>0</v>
      </c>
      <c r="L22" s="419">
        <f>SUMIFS('boc xe'!AC$2:AC$27,'boc xe'!$B$2:$B$27,'chia CN boc xe'!$C22)</f>
        <v>0</v>
      </c>
      <c r="M22" s="419">
        <f>SUMIFS('boc xe'!AD$2:AD$27,'boc xe'!$B$2:$B$27,'chia CN boc xe'!$C22)</f>
        <v>0</v>
      </c>
      <c r="N22" s="419">
        <f>SUMIFS('boc xe'!AE$2:AE$27,'boc xe'!$B$2:$B$27,'chia CN boc xe'!$C22)</f>
        <v>0</v>
      </c>
      <c r="O22" s="419">
        <f>SUMIFS('boc xe'!AF$2:AF$27,'boc xe'!$B$2:$B$27,'chia CN boc xe'!$C22)</f>
        <v>0</v>
      </c>
      <c r="P22" s="419">
        <f>SUMIFS('boc xe'!AG$2:AG$27,'boc xe'!$B$2:$B$27,'chia CN boc xe'!$C22)</f>
        <v>0</v>
      </c>
      <c r="Q22" s="419">
        <f>SUMIFS('boc xe'!AH$2:AH$27,'boc xe'!$B$2:$B$27,'chia CN boc xe'!$C22)</f>
        <v>0</v>
      </c>
      <c r="R22" s="419">
        <f>SUMIFS('boc xe'!AI$2:AI$27,'boc xe'!$B$2:$B$27,'chia CN boc xe'!$C22)</f>
        <v>0</v>
      </c>
      <c r="S22" s="419">
        <f>SUMIFS('boc xe'!AJ$2:AJ$27,'boc xe'!$B$2:$B$27,'chia CN boc xe'!$C22)</f>
        <v>0</v>
      </c>
      <c r="U22" s="254" t="str">
        <f>'BANG LUONG 1'!C40</f>
        <v>Nguyễn Văn Phụng</v>
      </c>
      <c r="V22" s="81">
        <f t="shared" si="1"/>
        <v>0</v>
      </c>
      <c r="W22" s="81">
        <f t="shared" si="2"/>
        <v>0</v>
      </c>
      <c r="X22" s="81">
        <f t="shared" si="3"/>
        <v>0</v>
      </c>
      <c r="Y22" s="81">
        <f t="shared" si="4"/>
        <v>0</v>
      </c>
      <c r="Z22" s="81">
        <f t="shared" si="5"/>
        <v>0</v>
      </c>
      <c r="AA22" s="81">
        <f t="shared" si="6"/>
        <v>0</v>
      </c>
      <c r="AB22" s="81">
        <f t="shared" si="7"/>
        <v>0</v>
      </c>
      <c r="AC22" s="81">
        <f t="shared" si="8"/>
        <v>0</v>
      </c>
      <c r="AD22" s="81">
        <f t="shared" si="9"/>
        <v>0</v>
      </c>
      <c r="AE22" s="81">
        <f t="shared" si="10"/>
        <v>0</v>
      </c>
      <c r="AF22" s="81">
        <f t="shared" si="11"/>
        <v>0</v>
      </c>
      <c r="AG22" s="81">
        <f t="shared" si="12"/>
        <v>0</v>
      </c>
      <c r="AH22" s="81">
        <f t="shared" si="13"/>
        <v>0</v>
      </c>
      <c r="AI22" s="81">
        <f t="shared" si="14"/>
        <v>0</v>
      </c>
      <c r="AJ22" s="81">
        <f t="shared" si="15"/>
        <v>0</v>
      </c>
      <c r="AK22" s="81">
        <f t="shared" si="16"/>
        <v>0</v>
      </c>
    </row>
    <row r="23" spans="1:37">
      <c r="A23" s="421">
        <v>21</v>
      </c>
      <c r="B23" s="545" t="s">
        <v>747</v>
      </c>
      <c r="C23" s="421">
        <v>4</v>
      </c>
      <c r="D23" s="419">
        <f>SUMIFS('boc xe'!U$2:U$27,'boc xe'!$B$2:$B$27,'chia CN boc xe'!$C23)</f>
        <v>0</v>
      </c>
      <c r="E23" s="419">
        <f>SUMIFS('boc xe'!V$2:V$27,'boc xe'!$B$2:$B$27,'chia CN boc xe'!$C23)</f>
        <v>0</v>
      </c>
      <c r="F23" s="419">
        <f>SUMIFS('boc xe'!W$2:W$27,'boc xe'!$B$2:$B$27,'chia CN boc xe'!$C23)</f>
        <v>0</v>
      </c>
      <c r="G23" s="419">
        <f>SUMIFS('boc xe'!X$2:X$27,'boc xe'!$B$2:$B$27,'chia CN boc xe'!$C23)</f>
        <v>0</v>
      </c>
      <c r="H23" s="419">
        <f>SUMIFS('boc xe'!Y$2:Y$27,'boc xe'!$B$2:$B$27,'chia CN boc xe'!$C23)</f>
        <v>0</v>
      </c>
      <c r="I23" s="419">
        <f>SUMIFS('boc xe'!Z$2:Z$27,'boc xe'!$B$2:$B$27,'chia CN boc xe'!$C23)</f>
        <v>16.666666666666668</v>
      </c>
      <c r="J23" s="419">
        <f>SUMIFS('boc xe'!AA$2:AA$27,'boc xe'!$B$2:$B$27,'chia CN boc xe'!$C23)</f>
        <v>0</v>
      </c>
      <c r="K23" s="419">
        <f>SUMIFS('boc xe'!AB$2:AB$27,'boc xe'!$B$2:$B$27,'chia CN boc xe'!$C23)</f>
        <v>0</v>
      </c>
      <c r="L23" s="419">
        <f>SUMIFS('boc xe'!AC$2:AC$27,'boc xe'!$B$2:$B$27,'chia CN boc xe'!$C23)</f>
        <v>0</v>
      </c>
      <c r="M23" s="419">
        <f>SUMIFS('boc xe'!AD$2:AD$27,'boc xe'!$B$2:$B$27,'chia CN boc xe'!$C23)</f>
        <v>0</v>
      </c>
      <c r="N23" s="419">
        <f>SUMIFS('boc xe'!AE$2:AE$27,'boc xe'!$B$2:$B$27,'chia CN boc xe'!$C23)</f>
        <v>0</v>
      </c>
      <c r="O23" s="419">
        <f>SUMIFS('boc xe'!AF$2:AF$27,'boc xe'!$B$2:$B$27,'chia CN boc xe'!$C23)</f>
        <v>0</v>
      </c>
      <c r="P23" s="419">
        <f>SUMIFS('boc xe'!AG$2:AG$27,'boc xe'!$B$2:$B$27,'chia CN boc xe'!$C23)</f>
        <v>0</v>
      </c>
      <c r="Q23" s="419">
        <f>SUMIFS('boc xe'!AH$2:AH$27,'boc xe'!$B$2:$B$27,'chia CN boc xe'!$C23)</f>
        <v>0</v>
      </c>
      <c r="R23" s="419">
        <f>SUMIFS('boc xe'!AI$2:AI$27,'boc xe'!$B$2:$B$27,'chia CN boc xe'!$C23)</f>
        <v>0</v>
      </c>
      <c r="S23" s="419">
        <f>SUMIFS('boc xe'!AJ$2:AJ$27,'boc xe'!$B$2:$B$27,'chia CN boc xe'!$C23)</f>
        <v>0</v>
      </c>
      <c r="U23" s="254" t="e">
        <f>'BANG LUONG 1'!#REF!</f>
        <v>#REF!</v>
      </c>
      <c r="V23" s="81">
        <f t="shared" si="1"/>
        <v>0</v>
      </c>
      <c r="W23" s="81">
        <f t="shared" si="2"/>
        <v>0</v>
      </c>
      <c r="X23" s="81">
        <f t="shared" si="3"/>
        <v>0</v>
      </c>
      <c r="Y23" s="81">
        <f t="shared" si="4"/>
        <v>0</v>
      </c>
      <c r="Z23" s="81">
        <f t="shared" si="5"/>
        <v>0</v>
      </c>
      <c r="AA23" s="81">
        <f t="shared" si="6"/>
        <v>0</v>
      </c>
      <c r="AB23" s="81">
        <f t="shared" si="7"/>
        <v>0</v>
      </c>
      <c r="AC23" s="81">
        <f t="shared" si="8"/>
        <v>0</v>
      </c>
      <c r="AD23" s="81">
        <f t="shared" si="9"/>
        <v>0</v>
      </c>
      <c r="AE23" s="81">
        <f t="shared" si="10"/>
        <v>0</v>
      </c>
      <c r="AF23" s="81">
        <f t="shared" si="11"/>
        <v>0</v>
      </c>
      <c r="AG23" s="81">
        <f t="shared" si="12"/>
        <v>0</v>
      </c>
      <c r="AH23" s="81">
        <f t="shared" si="13"/>
        <v>0</v>
      </c>
      <c r="AI23" s="81">
        <f t="shared" si="14"/>
        <v>0</v>
      </c>
      <c r="AJ23" s="81">
        <f t="shared" si="15"/>
        <v>0</v>
      </c>
      <c r="AK23" s="81">
        <f t="shared" si="16"/>
        <v>0</v>
      </c>
    </row>
    <row r="24" spans="1:37">
      <c r="A24" s="421">
        <v>22</v>
      </c>
      <c r="B24" s="545" t="s">
        <v>752</v>
      </c>
      <c r="C24" s="421">
        <v>4</v>
      </c>
      <c r="D24" s="419">
        <f>SUMIFS('boc xe'!U$2:U$27,'boc xe'!$B$2:$B$27,'chia CN boc xe'!$C24)</f>
        <v>0</v>
      </c>
      <c r="E24" s="419">
        <f>SUMIFS('boc xe'!V$2:V$27,'boc xe'!$B$2:$B$27,'chia CN boc xe'!$C24)</f>
        <v>0</v>
      </c>
      <c r="F24" s="419">
        <f>SUMIFS('boc xe'!W$2:W$27,'boc xe'!$B$2:$B$27,'chia CN boc xe'!$C24)</f>
        <v>0</v>
      </c>
      <c r="G24" s="419">
        <f>SUMIFS('boc xe'!X$2:X$27,'boc xe'!$B$2:$B$27,'chia CN boc xe'!$C24)</f>
        <v>0</v>
      </c>
      <c r="H24" s="419">
        <f>SUMIFS('boc xe'!Y$2:Y$27,'boc xe'!$B$2:$B$27,'chia CN boc xe'!$C24)</f>
        <v>0</v>
      </c>
      <c r="I24" s="419">
        <f>SUMIFS('boc xe'!Z$2:Z$27,'boc xe'!$B$2:$B$27,'chia CN boc xe'!$C24)</f>
        <v>16.666666666666668</v>
      </c>
      <c r="J24" s="419">
        <f>SUMIFS('boc xe'!AA$2:AA$27,'boc xe'!$B$2:$B$27,'chia CN boc xe'!$C24)</f>
        <v>0</v>
      </c>
      <c r="K24" s="419">
        <f>SUMIFS('boc xe'!AB$2:AB$27,'boc xe'!$B$2:$B$27,'chia CN boc xe'!$C24)</f>
        <v>0</v>
      </c>
      <c r="L24" s="419">
        <f>SUMIFS('boc xe'!AC$2:AC$27,'boc xe'!$B$2:$B$27,'chia CN boc xe'!$C24)</f>
        <v>0</v>
      </c>
      <c r="M24" s="419">
        <f>SUMIFS('boc xe'!AD$2:AD$27,'boc xe'!$B$2:$B$27,'chia CN boc xe'!$C24)</f>
        <v>0</v>
      </c>
      <c r="N24" s="419">
        <f>SUMIFS('boc xe'!AE$2:AE$27,'boc xe'!$B$2:$B$27,'chia CN boc xe'!$C24)</f>
        <v>0</v>
      </c>
      <c r="O24" s="419">
        <f>SUMIFS('boc xe'!AF$2:AF$27,'boc xe'!$B$2:$B$27,'chia CN boc xe'!$C24)</f>
        <v>0</v>
      </c>
      <c r="P24" s="419">
        <f>SUMIFS('boc xe'!AG$2:AG$27,'boc xe'!$B$2:$B$27,'chia CN boc xe'!$C24)</f>
        <v>0</v>
      </c>
      <c r="Q24" s="419">
        <f>SUMIFS('boc xe'!AH$2:AH$27,'boc xe'!$B$2:$B$27,'chia CN boc xe'!$C24)</f>
        <v>0</v>
      </c>
      <c r="R24" s="419">
        <f>SUMIFS('boc xe'!AI$2:AI$27,'boc xe'!$B$2:$B$27,'chia CN boc xe'!$C24)</f>
        <v>0</v>
      </c>
      <c r="S24" s="419">
        <f>SUMIFS('boc xe'!AJ$2:AJ$27,'boc xe'!$B$2:$B$27,'chia CN boc xe'!$C24)</f>
        <v>0</v>
      </c>
      <c r="U24" s="254" t="str">
        <f>'BANG LUONG 1'!C7</f>
        <v xml:space="preserve">Nguyễn Minh Tuấn </v>
      </c>
      <c r="V24" s="81">
        <f t="shared" si="1"/>
        <v>0</v>
      </c>
      <c r="W24" s="81">
        <f t="shared" si="2"/>
        <v>0</v>
      </c>
      <c r="X24" s="81">
        <f t="shared" si="3"/>
        <v>0</v>
      </c>
      <c r="Y24" s="81">
        <f t="shared" si="4"/>
        <v>0</v>
      </c>
      <c r="Z24" s="81">
        <f t="shared" si="5"/>
        <v>0</v>
      </c>
      <c r="AA24" s="81">
        <f t="shared" si="6"/>
        <v>0</v>
      </c>
      <c r="AB24" s="81">
        <f t="shared" si="7"/>
        <v>0</v>
      </c>
      <c r="AC24" s="81">
        <f t="shared" si="8"/>
        <v>0</v>
      </c>
      <c r="AD24" s="81">
        <f t="shared" si="9"/>
        <v>0</v>
      </c>
      <c r="AE24" s="81">
        <f t="shared" si="10"/>
        <v>0</v>
      </c>
      <c r="AF24" s="81">
        <f t="shared" si="11"/>
        <v>0</v>
      </c>
      <c r="AG24" s="81">
        <f t="shared" si="12"/>
        <v>0</v>
      </c>
      <c r="AH24" s="81">
        <f t="shared" si="13"/>
        <v>0</v>
      </c>
      <c r="AI24" s="81">
        <f t="shared" si="14"/>
        <v>0</v>
      </c>
      <c r="AJ24" s="81">
        <f t="shared" si="15"/>
        <v>0</v>
      </c>
      <c r="AK24" s="81">
        <f t="shared" si="16"/>
        <v>0</v>
      </c>
    </row>
    <row r="25" spans="1:37">
      <c r="A25" s="421">
        <v>23</v>
      </c>
      <c r="B25" s="545" t="s">
        <v>617</v>
      </c>
      <c r="C25" s="421">
        <v>5</v>
      </c>
      <c r="D25" s="419">
        <f>SUMIFS('boc xe'!U$2:U$27,'boc xe'!$B$2:$B$27,'chia CN boc xe'!$C25)</f>
        <v>0</v>
      </c>
      <c r="E25" s="419">
        <f>SUMIFS('boc xe'!V$2:V$27,'boc xe'!$B$2:$B$27,'chia CN boc xe'!$C25)</f>
        <v>40</v>
      </c>
      <c r="F25" s="419">
        <f>SUMIFS('boc xe'!W$2:W$27,'boc xe'!$B$2:$B$27,'chia CN boc xe'!$C25)</f>
        <v>3.6666666666666665</v>
      </c>
      <c r="G25" s="419">
        <f>SUMIFS('boc xe'!X$2:X$27,'boc xe'!$B$2:$B$27,'chia CN boc xe'!$C25)</f>
        <v>28.333333333333332</v>
      </c>
      <c r="H25" s="419">
        <f>SUMIFS('boc xe'!Y$2:Y$27,'boc xe'!$B$2:$B$27,'chia CN boc xe'!$C25)</f>
        <v>0</v>
      </c>
      <c r="I25" s="419">
        <f>SUMIFS('boc xe'!Z$2:Z$27,'boc xe'!$B$2:$B$27,'chia CN boc xe'!$C25)</f>
        <v>11.666666666666666</v>
      </c>
      <c r="J25" s="419">
        <f>SUMIFS('boc xe'!AA$2:AA$27,'boc xe'!$B$2:$B$27,'chia CN boc xe'!$C25)</f>
        <v>0</v>
      </c>
      <c r="K25" s="419">
        <f>SUMIFS('boc xe'!AB$2:AB$27,'boc xe'!$B$2:$B$27,'chia CN boc xe'!$C25)</f>
        <v>0</v>
      </c>
      <c r="L25" s="419">
        <f>SUMIFS('boc xe'!AC$2:AC$27,'boc xe'!$B$2:$B$27,'chia CN boc xe'!$C25)</f>
        <v>0</v>
      </c>
      <c r="M25" s="419">
        <f>SUMIFS('boc xe'!AD$2:AD$27,'boc xe'!$B$2:$B$27,'chia CN boc xe'!$C25)</f>
        <v>0</v>
      </c>
      <c r="N25" s="419">
        <f>SUMIFS('boc xe'!AE$2:AE$27,'boc xe'!$B$2:$B$27,'chia CN boc xe'!$C25)</f>
        <v>0</v>
      </c>
      <c r="O25" s="419">
        <f>SUMIFS('boc xe'!AF$2:AF$27,'boc xe'!$B$2:$B$27,'chia CN boc xe'!$C25)</f>
        <v>0</v>
      </c>
      <c r="P25" s="419">
        <f>SUMIFS('boc xe'!AG$2:AG$27,'boc xe'!$B$2:$B$27,'chia CN boc xe'!$C25)</f>
        <v>0</v>
      </c>
      <c r="Q25" s="419">
        <f>SUMIFS('boc xe'!AH$2:AH$27,'boc xe'!$B$2:$B$27,'chia CN boc xe'!$C25)</f>
        <v>0</v>
      </c>
      <c r="R25" s="419">
        <f>SUMIFS('boc xe'!AI$2:AI$27,'boc xe'!$B$2:$B$27,'chia CN boc xe'!$C25)</f>
        <v>0</v>
      </c>
      <c r="S25" s="419">
        <f>SUMIFS('boc xe'!AJ$2:AJ$27,'boc xe'!$B$2:$B$27,'chia CN boc xe'!$C25)</f>
        <v>0</v>
      </c>
      <c r="U25" s="254" t="e">
        <f>'BANG LUONG 1'!#REF!</f>
        <v>#REF!</v>
      </c>
      <c r="V25" s="81">
        <f t="shared" si="1"/>
        <v>0</v>
      </c>
      <c r="W25" s="81">
        <f t="shared" si="2"/>
        <v>0</v>
      </c>
      <c r="X25" s="81">
        <f t="shared" si="3"/>
        <v>0</v>
      </c>
      <c r="Y25" s="81">
        <f t="shared" si="4"/>
        <v>0</v>
      </c>
      <c r="Z25" s="81">
        <f t="shared" si="5"/>
        <v>0</v>
      </c>
      <c r="AA25" s="81">
        <f t="shared" si="6"/>
        <v>0</v>
      </c>
      <c r="AB25" s="81">
        <f t="shared" si="7"/>
        <v>0</v>
      </c>
      <c r="AC25" s="81">
        <f t="shared" si="8"/>
        <v>0</v>
      </c>
      <c r="AD25" s="81">
        <f t="shared" si="9"/>
        <v>0</v>
      </c>
      <c r="AE25" s="81">
        <f t="shared" si="10"/>
        <v>0</v>
      </c>
      <c r="AF25" s="81">
        <f t="shared" si="11"/>
        <v>0</v>
      </c>
      <c r="AG25" s="81">
        <f t="shared" si="12"/>
        <v>0</v>
      </c>
      <c r="AH25" s="81">
        <f t="shared" si="13"/>
        <v>0</v>
      </c>
      <c r="AI25" s="81">
        <f t="shared" si="14"/>
        <v>0</v>
      </c>
      <c r="AJ25" s="81">
        <f t="shared" si="15"/>
        <v>0</v>
      </c>
      <c r="AK25" s="81">
        <f t="shared" si="16"/>
        <v>0</v>
      </c>
    </row>
    <row r="26" spans="1:37">
      <c r="A26" s="421">
        <v>24</v>
      </c>
      <c r="B26" s="545" t="s">
        <v>618</v>
      </c>
      <c r="C26" s="421">
        <v>5</v>
      </c>
      <c r="D26" s="419">
        <f>SUMIFS('boc xe'!U$2:U$27,'boc xe'!$B$2:$B$27,'chia CN boc xe'!$C26)</f>
        <v>0</v>
      </c>
      <c r="E26" s="419">
        <f>SUMIFS('boc xe'!V$2:V$27,'boc xe'!$B$2:$B$27,'chia CN boc xe'!$C26)</f>
        <v>40</v>
      </c>
      <c r="F26" s="419">
        <f>SUMIFS('boc xe'!W$2:W$27,'boc xe'!$B$2:$B$27,'chia CN boc xe'!$C26)</f>
        <v>3.6666666666666665</v>
      </c>
      <c r="G26" s="419">
        <f>SUMIFS('boc xe'!X$2:X$27,'boc xe'!$B$2:$B$27,'chia CN boc xe'!$C26)</f>
        <v>28.333333333333332</v>
      </c>
      <c r="H26" s="419">
        <f>SUMIFS('boc xe'!Y$2:Y$27,'boc xe'!$B$2:$B$27,'chia CN boc xe'!$C26)</f>
        <v>0</v>
      </c>
      <c r="I26" s="419">
        <f>SUMIFS('boc xe'!Z$2:Z$27,'boc xe'!$B$2:$B$27,'chia CN boc xe'!$C26)</f>
        <v>11.666666666666666</v>
      </c>
      <c r="J26" s="419">
        <f>SUMIFS('boc xe'!AA$2:AA$27,'boc xe'!$B$2:$B$27,'chia CN boc xe'!$C26)</f>
        <v>0</v>
      </c>
      <c r="K26" s="419">
        <f>SUMIFS('boc xe'!AB$2:AB$27,'boc xe'!$B$2:$B$27,'chia CN boc xe'!$C26)</f>
        <v>0</v>
      </c>
      <c r="L26" s="419">
        <f>SUMIFS('boc xe'!AC$2:AC$27,'boc xe'!$B$2:$B$27,'chia CN boc xe'!$C26)</f>
        <v>0</v>
      </c>
      <c r="M26" s="419">
        <f>SUMIFS('boc xe'!AD$2:AD$27,'boc xe'!$B$2:$B$27,'chia CN boc xe'!$C26)</f>
        <v>0</v>
      </c>
      <c r="N26" s="419">
        <f>SUMIFS('boc xe'!AE$2:AE$27,'boc xe'!$B$2:$B$27,'chia CN boc xe'!$C26)</f>
        <v>0</v>
      </c>
      <c r="O26" s="419">
        <f>SUMIFS('boc xe'!AF$2:AF$27,'boc xe'!$B$2:$B$27,'chia CN boc xe'!$C26)</f>
        <v>0</v>
      </c>
      <c r="P26" s="419">
        <f>SUMIFS('boc xe'!AG$2:AG$27,'boc xe'!$B$2:$B$27,'chia CN boc xe'!$C26)</f>
        <v>0</v>
      </c>
      <c r="Q26" s="419">
        <f>SUMIFS('boc xe'!AH$2:AH$27,'boc xe'!$B$2:$B$27,'chia CN boc xe'!$C26)</f>
        <v>0</v>
      </c>
      <c r="R26" s="419">
        <f>SUMIFS('boc xe'!AI$2:AI$27,'boc xe'!$B$2:$B$27,'chia CN boc xe'!$C26)</f>
        <v>0</v>
      </c>
      <c r="S26" s="419">
        <f>SUMIFS('boc xe'!AJ$2:AJ$27,'boc xe'!$B$2:$B$27,'chia CN boc xe'!$C26)</f>
        <v>0</v>
      </c>
      <c r="U26" s="254" t="str">
        <f>'BANG LUONG 1'!C9</f>
        <v xml:space="preserve">Triệu Bô Na </v>
      </c>
      <c r="V26" s="81">
        <f t="shared" si="1"/>
        <v>0</v>
      </c>
      <c r="W26" s="81">
        <f t="shared" si="2"/>
        <v>0</v>
      </c>
      <c r="X26" s="81">
        <f t="shared" si="3"/>
        <v>0</v>
      </c>
      <c r="Y26" s="81">
        <f t="shared" si="4"/>
        <v>0</v>
      </c>
      <c r="Z26" s="81">
        <f t="shared" si="5"/>
        <v>0</v>
      </c>
      <c r="AA26" s="81">
        <f t="shared" si="6"/>
        <v>0</v>
      </c>
      <c r="AB26" s="81">
        <f t="shared" si="7"/>
        <v>0</v>
      </c>
      <c r="AC26" s="81">
        <f t="shared" si="8"/>
        <v>0</v>
      </c>
      <c r="AD26" s="81">
        <f t="shared" si="9"/>
        <v>0</v>
      </c>
      <c r="AE26" s="81">
        <f t="shared" si="10"/>
        <v>0</v>
      </c>
      <c r="AF26" s="81">
        <f t="shared" si="11"/>
        <v>0</v>
      </c>
      <c r="AG26" s="81">
        <f t="shared" si="12"/>
        <v>0</v>
      </c>
      <c r="AH26" s="81">
        <f t="shared" si="13"/>
        <v>0</v>
      </c>
      <c r="AI26" s="81">
        <f t="shared" si="14"/>
        <v>0</v>
      </c>
      <c r="AJ26" s="81">
        <f t="shared" si="15"/>
        <v>0</v>
      </c>
      <c r="AK26" s="81">
        <f t="shared" si="16"/>
        <v>0</v>
      </c>
    </row>
    <row r="27" spans="1:37">
      <c r="A27" s="421">
        <v>25</v>
      </c>
      <c r="B27" s="545" t="s">
        <v>620</v>
      </c>
      <c r="C27" s="421">
        <v>5</v>
      </c>
      <c r="D27" s="419">
        <f>SUMIFS('boc xe'!U$2:U$27,'boc xe'!$B$2:$B$27,'chia CN boc xe'!$C27)</f>
        <v>0</v>
      </c>
      <c r="E27" s="419">
        <f>SUMIFS('boc xe'!V$2:V$27,'boc xe'!$B$2:$B$27,'chia CN boc xe'!$C27)</f>
        <v>40</v>
      </c>
      <c r="F27" s="419">
        <f>SUMIFS('boc xe'!W$2:W$27,'boc xe'!$B$2:$B$27,'chia CN boc xe'!$C27)</f>
        <v>3.6666666666666665</v>
      </c>
      <c r="G27" s="419">
        <f>SUMIFS('boc xe'!X$2:X$27,'boc xe'!$B$2:$B$27,'chia CN boc xe'!$C27)</f>
        <v>28.333333333333332</v>
      </c>
      <c r="H27" s="419">
        <f>SUMIFS('boc xe'!Y$2:Y$27,'boc xe'!$B$2:$B$27,'chia CN boc xe'!$C27)</f>
        <v>0</v>
      </c>
      <c r="I27" s="419">
        <f>SUMIFS('boc xe'!Z$2:Z$27,'boc xe'!$B$2:$B$27,'chia CN boc xe'!$C27)</f>
        <v>11.666666666666666</v>
      </c>
      <c r="J27" s="419">
        <f>SUMIFS('boc xe'!AA$2:AA$27,'boc xe'!$B$2:$B$27,'chia CN boc xe'!$C27)</f>
        <v>0</v>
      </c>
      <c r="K27" s="419">
        <f>SUMIFS('boc xe'!AB$2:AB$27,'boc xe'!$B$2:$B$27,'chia CN boc xe'!$C27)</f>
        <v>0</v>
      </c>
      <c r="L27" s="419">
        <f>SUMIFS('boc xe'!AC$2:AC$27,'boc xe'!$B$2:$B$27,'chia CN boc xe'!$C27)</f>
        <v>0</v>
      </c>
      <c r="M27" s="419">
        <f>SUMIFS('boc xe'!AD$2:AD$27,'boc xe'!$B$2:$B$27,'chia CN boc xe'!$C27)</f>
        <v>0</v>
      </c>
      <c r="N27" s="419">
        <f>SUMIFS('boc xe'!AE$2:AE$27,'boc xe'!$B$2:$B$27,'chia CN boc xe'!$C27)</f>
        <v>0</v>
      </c>
      <c r="O27" s="419">
        <f>SUMIFS('boc xe'!AF$2:AF$27,'boc xe'!$B$2:$B$27,'chia CN boc xe'!$C27)</f>
        <v>0</v>
      </c>
      <c r="P27" s="419">
        <f>SUMIFS('boc xe'!AG$2:AG$27,'boc xe'!$B$2:$B$27,'chia CN boc xe'!$C27)</f>
        <v>0</v>
      </c>
      <c r="Q27" s="419">
        <f>SUMIFS('boc xe'!AH$2:AH$27,'boc xe'!$B$2:$B$27,'chia CN boc xe'!$C27)</f>
        <v>0</v>
      </c>
      <c r="R27" s="419">
        <f>SUMIFS('boc xe'!AI$2:AI$27,'boc xe'!$B$2:$B$27,'chia CN boc xe'!$C27)</f>
        <v>0</v>
      </c>
      <c r="S27" s="419">
        <f>SUMIFS('boc xe'!AJ$2:AJ$27,'boc xe'!$B$2:$B$27,'chia CN boc xe'!$C27)</f>
        <v>0</v>
      </c>
      <c r="U27" s="254" t="str">
        <f>'BANG LUONG 1'!C26</f>
        <v xml:space="preserve">Trần Văn Thứ </v>
      </c>
      <c r="V27" s="81">
        <f t="shared" si="1"/>
        <v>0</v>
      </c>
      <c r="W27" s="81">
        <f t="shared" si="2"/>
        <v>0</v>
      </c>
      <c r="X27" s="81">
        <f t="shared" si="3"/>
        <v>0</v>
      </c>
      <c r="Y27" s="81">
        <f t="shared" si="4"/>
        <v>0</v>
      </c>
      <c r="Z27" s="81">
        <f t="shared" si="5"/>
        <v>0</v>
      </c>
      <c r="AA27" s="81">
        <f t="shared" si="6"/>
        <v>0</v>
      </c>
      <c r="AB27" s="81">
        <f t="shared" si="7"/>
        <v>0</v>
      </c>
      <c r="AC27" s="81">
        <f t="shared" si="8"/>
        <v>0</v>
      </c>
      <c r="AD27" s="81">
        <f t="shared" si="9"/>
        <v>0</v>
      </c>
      <c r="AE27" s="81">
        <f t="shared" si="10"/>
        <v>0</v>
      </c>
      <c r="AF27" s="81">
        <f t="shared" si="11"/>
        <v>0</v>
      </c>
      <c r="AG27" s="81">
        <f t="shared" si="12"/>
        <v>0</v>
      </c>
      <c r="AH27" s="81">
        <f t="shared" si="13"/>
        <v>0</v>
      </c>
      <c r="AI27" s="81">
        <f t="shared" si="14"/>
        <v>0</v>
      </c>
      <c r="AJ27" s="81">
        <f t="shared" si="15"/>
        <v>0</v>
      </c>
      <c r="AK27" s="81">
        <f t="shared" si="16"/>
        <v>0</v>
      </c>
    </row>
    <row r="28" spans="1:37">
      <c r="A28" s="421">
        <v>26</v>
      </c>
      <c r="B28" s="545" t="s">
        <v>743</v>
      </c>
      <c r="C28" s="421">
        <v>5</v>
      </c>
      <c r="D28" s="419">
        <f>SUMIFS('boc xe'!U$2:U$27,'boc xe'!$B$2:$B$27,'chia CN boc xe'!$C28)</f>
        <v>0</v>
      </c>
      <c r="E28" s="419">
        <f>SUMIFS('boc xe'!V$2:V$27,'boc xe'!$B$2:$B$27,'chia CN boc xe'!$C28)</f>
        <v>40</v>
      </c>
      <c r="F28" s="419">
        <f>SUMIFS('boc xe'!W$2:W$27,'boc xe'!$B$2:$B$27,'chia CN boc xe'!$C28)</f>
        <v>3.6666666666666665</v>
      </c>
      <c r="G28" s="419">
        <f>SUMIFS('boc xe'!X$2:X$27,'boc xe'!$B$2:$B$27,'chia CN boc xe'!$C28)</f>
        <v>28.333333333333332</v>
      </c>
      <c r="H28" s="419">
        <f>SUMIFS('boc xe'!Y$2:Y$27,'boc xe'!$B$2:$B$27,'chia CN boc xe'!$C28)</f>
        <v>0</v>
      </c>
      <c r="I28" s="419">
        <f>SUMIFS('boc xe'!Z$2:Z$27,'boc xe'!$B$2:$B$27,'chia CN boc xe'!$C28)</f>
        <v>11.666666666666666</v>
      </c>
      <c r="J28" s="419">
        <f>SUMIFS('boc xe'!AA$2:AA$27,'boc xe'!$B$2:$B$27,'chia CN boc xe'!$C28)</f>
        <v>0</v>
      </c>
      <c r="K28" s="419">
        <f>SUMIFS('boc xe'!AB$2:AB$27,'boc xe'!$B$2:$B$27,'chia CN boc xe'!$C28)</f>
        <v>0</v>
      </c>
      <c r="L28" s="419">
        <f>SUMIFS('boc xe'!AC$2:AC$27,'boc xe'!$B$2:$B$27,'chia CN boc xe'!$C28)</f>
        <v>0</v>
      </c>
      <c r="M28" s="419">
        <f>SUMIFS('boc xe'!AD$2:AD$27,'boc xe'!$B$2:$B$27,'chia CN boc xe'!$C28)</f>
        <v>0</v>
      </c>
      <c r="N28" s="419">
        <f>SUMIFS('boc xe'!AE$2:AE$27,'boc xe'!$B$2:$B$27,'chia CN boc xe'!$C28)</f>
        <v>0</v>
      </c>
      <c r="O28" s="419">
        <f>SUMIFS('boc xe'!AF$2:AF$27,'boc xe'!$B$2:$B$27,'chia CN boc xe'!$C28)</f>
        <v>0</v>
      </c>
      <c r="P28" s="419">
        <f>SUMIFS('boc xe'!AG$2:AG$27,'boc xe'!$B$2:$B$27,'chia CN boc xe'!$C28)</f>
        <v>0</v>
      </c>
      <c r="Q28" s="419">
        <f>SUMIFS('boc xe'!AH$2:AH$27,'boc xe'!$B$2:$B$27,'chia CN boc xe'!$C28)</f>
        <v>0</v>
      </c>
      <c r="R28" s="419">
        <f>SUMIFS('boc xe'!AI$2:AI$27,'boc xe'!$B$2:$B$27,'chia CN boc xe'!$C28)</f>
        <v>0</v>
      </c>
      <c r="S28" s="419">
        <f>SUMIFS('boc xe'!AJ$2:AJ$27,'boc xe'!$B$2:$B$27,'chia CN boc xe'!$C28)</f>
        <v>0</v>
      </c>
      <c r="U28" s="254" t="str">
        <f>'BANG LUONG 1'!C28</f>
        <v>Quách Văn Chánh</v>
      </c>
      <c r="V28" s="81">
        <f t="shared" si="1"/>
        <v>0</v>
      </c>
      <c r="W28" s="81">
        <f t="shared" si="2"/>
        <v>0</v>
      </c>
      <c r="X28" s="81">
        <f t="shared" si="3"/>
        <v>0</v>
      </c>
      <c r="Y28" s="81">
        <f t="shared" si="4"/>
        <v>0</v>
      </c>
      <c r="Z28" s="81">
        <f t="shared" si="5"/>
        <v>0</v>
      </c>
      <c r="AA28" s="81">
        <f t="shared" si="6"/>
        <v>0</v>
      </c>
      <c r="AB28" s="81">
        <f t="shared" si="7"/>
        <v>0</v>
      </c>
      <c r="AC28" s="81">
        <f t="shared" si="8"/>
        <v>0</v>
      </c>
      <c r="AD28" s="81">
        <f t="shared" si="9"/>
        <v>0</v>
      </c>
      <c r="AE28" s="81">
        <f t="shared" si="10"/>
        <v>0</v>
      </c>
      <c r="AF28" s="81">
        <f t="shared" si="11"/>
        <v>0</v>
      </c>
      <c r="AG28" s="81">
        <f t="shared" si="12"/>
        <v>0</v>
      </c>
      <c r="AH28" s="81">
        <f t="shared" si="13"/>
        <v>0</v>
      </c>
      <c r="AI28" s="81">
        <f t="shared" si="14"/>
        <v>0</v>
      </c>
      <c r="AJ28" s="81">
        <f t="shared" si="15"/>
        <v>0</v>
      </c>
      <c r="AK28" s="81">
        <f t="shared" si="16"/>
        <v>0</v>
      </c>
    </row>
    <row r="29" spans="1:37">
      <c r="A29" s="421">
        <v>27</v>
      </c>
      <c r="B29" s="545" t="s">
        <v>747</v>
      </c>
      <c r="C29" s="421">
        <v>5</v>
      </c>
      <c r="D29" s="419">
        <f>SUMIFS('boc xe'!U$2:U$27,'boc xe'!$B$2:$B$27,'chia CN boc xe'!$C29)</f>
        <v>0</v>
      </c>
      <c r="E29" s="419">
        <f>SUMIFS('boc xe'!V$2:V$27,'boc xe'!$B$2:$B$27,'chia CN boc xe'!$C29)</f>
        <v>40</v>
      </c>
      <c r="F29" s="419">
        <f>SUMIFS('boc xe'!W$2:W$27,'boc xe'!$B$2:$B$27,'chia CN boc xe'!$C29)</f>
        <v>3.6666666666666665</v>
      </c>
      <c r="G29" s="419">
        <f>SUMIFS('boc xe'!X$2:X$27,'boc xe'!$B$2:$B$27,'chia CN boc xe'!$C29)</f>
        <v>28.333333333333332</v>
      </c>
      <c r="H29" s="419">
        <f>SUMIFS('boc xe'!Y$2:Y$27,'boc xe'!$B$2:$B$27,'chia CN boc xe'!$C29)</f>
        <v>0</v>
      </c>
      <c r="I29" s="419">
        <f>SUMIFS('boc xe'!Z$2:Z$27,'boc xe'!$B$2:$B$27,'chia CN boc xe'!$C29)</f>
        <v>11.666666666666666</v>
      </c>
      <c r="J29" s="419">
        <f>SUMIFS('boc xe'!AA$2:AA$27,'boc xe'!$B$2:$B$27,'chia CN boc xe'!$C29)</f>
        <v>0</v>
      </c>
      <c r="K29" s="419">
        <f>SUMIFS('boc xe'!AB$2:AB$27,'boc xe'!$B$2:$B$27,'chia CN boc xe'!$C29)</f>
        <v>0</v>
      </c>
      <c r="L29" s="419">
        <f>SUMIFS('boc xe'!AC$2:AC$27,'boc xe'!$B$2:$B$27,'chia CN boc xe'!$C29)</f>
        <v>0</v>
      </c>
      <c r="M29" s="419">
        <f>SUMIFS('boc xe'!AD$2:AD$27,'boc xe'!$B$2:$B$27,'chia CN boc xe'!$C29)</f>
        <v>0</v>
      </c>
      <c r="N29" s="419">
        <f>SUMIFS('boc xe'!AE$2:AE$27,'boc xe'!$B$2:$B$27,'chia CN boc xe'!$C29)</f>
        <v>0</v>
      </c>
      <c r="O29" s="419">
        <f>SUMIFS('boc xe'!AF$2:AF$27,'boc xe'!$B$2:$B$27,'chia CN boc xe'!$C29)</f>
        <v>0</v>
      </c>
      <c r="P29" s="419">
        <f>SUMIFS('boc xe'!AG$2:AG$27,'boc xe'!$B$2:$B$27,'chia CN boc xe'!$C29)</f>
        <v>0</v>
      </c>
      <c r="Q29" s="419">
        <f>SUMIFS('boc xe'!AH$2:AH$27,'boc xe'!$B$2:$B$27,'chia CN boc xe'!$C29)</f>
        <v>0</v>
      </c>
      <c r="R29" s="419">
        <f>SUMIFS('boc xe'!AI$2:AI$27,'boc xe'!$B$2:$B$27,'chia CN boc xe'!$C29)</f>
        <v>0</v>
      </c>
      <c r="S29" s="419">
        <f>SUMIFS('boc xe'!AJ$2:AJ$27,'boc xe'!$B$2:$B$27,'chia CN boc xe'!$C29)</f>
        <v>0</v>
      </c>
      <c r="U29" s="254" t="str">
        <f>'BANG LUONG 1'!C41</f>
        <v>Nguyễn Tấn Kiệt</v>
      </c>
      <c r="V29" s="81">
        <f t="shared" si="1"/>
        <v>0</v>
      </c>
      <c r="W29" s="81">
        <f t="shared" si="2"/>
        <v>0</v>
      </c>
      <c r="X29" s="81">
        <f t="shared" si="3"/>
        <v>0</v>
      </c>
      <c r="Y29" s="81">
        <f t="shared" si="4"/>
        <v>0</v>
      </c>
      <c r="Z29" s="81">
        <f t="shared" si="5"/>
        <v>0</v>
      </c>
      <c r="AA29" s="81">
        <f t="shared" si="6"/>
        <v>0</v>
      </c>
      <c r="AB29" s="81">
        <f t="shared" si="7"/>
        <v>0</v>
      </c>
      <c r="AC29" s="81">
        <f t="shared" si="8"/>
        <v>0</v>
      </c>
      <c r="AD29" s="81">
        <f t="shared" si="9"/>
        <v>0</v>
      </c>
      <c r="AE29" s="81">
        <f t="shared" si="10"/>
        <v>0</v>
      </c>
      <c r="AF29" s="81">
        <f t="shared" si="11"/>
        <v>0</v>
      </c>
      <c r="AG29" s="81">
        <f t="shared" si="12"/>
        <v>0</v>
      </c>
      <c r="AH29" s="81">
        <f t="shared" si="13"/>
        <v>0</v>
      </c>
      <c r="AI29" s="81">
        <f t="shared" si="14"/>
        <v>0</v>
      </c>
      <c r="AJ29" s="81">
        <f t="shared" si="15"/>
        <v>0</v>
      </c>
      <c r="AK29" s="81">
        <f t="shared" si="16"/>
        <v>0</v>
      </c>
    </row>
    <row r="30" spans="1:37">
      <c r="A30" s="421">
        <v>28</v>
      </c>
      <c r="B30" s="545" t="s">
        <v>752</v>
      </c>
      <c r="C30" s="421">
        <v>5</v>
      </c>
      <c r="D30" s="419">
        <f>SUMIFS('boc xe'!U$2:U$27,'boc xe'!$B$2:$B$27,'chia CN boc xe'!$C30)</f>
        <v>0</v>
      </c>
      <c r="E30" s="419">
        <f>SUMIFS('boc xe'!V$2:V$27,'boc xe'!$B$2:$B$27,'chia CN boc xe'!$C30)</f>
        <v>40</v>
      </c>
      <c r="F30" s="419">
        <f>SUMIFS('boc xe'!W$2:W$27,'boc xe'!$B$2:$B$27,'chia CN boc xe'!$C30)</f>
        <v>3.6666666666666665</v>
      </c>
      <c r="G30" s="419">
        <f>SUMIFS('boc xe'!X$2:X$27,'boc xe'!$B$2:$B$27,'chia CN boc xe'!$C30)</f>
        <v>28.333333333333332</v>
      </c>
      <c r="H30" s="419">
        <f>SUMIFS('boc xe'!Y$2:Y$27,'boc xe'!$B$2:$B$27,'chia CN boc xe'!$C30)</f>
        <v>0</v>
      </c>
      <c r="I30" s="419">
        <f>SUMIFS('boc xe'!Z$2:Z$27,'boc xe'!$B$2:$B$27,'chia CN boc xe'!$C30)</f>
        <v>11.666666666666666</v>
      </c>
      <c r="J30" s="419">
        <f>SUMIFS('boc xe'!AA$2:AA$27,'boc xe'!$B$2:$B$27,'chia CN boc xe'!$C30)</f>
        <v>0</v>
      </c>
      <c r="K30" s="419">
        <f>SUMIFS('boc xe'!AB$2:AB$27,'boc xe'!$B$2:$B$27,'chia CN boc xe'!$C30)</f>
        <v>0</v>
      </c>
      <c r="L30" s="419">
        <f>SUMIFS('boc xe'!AC$2:AC$27,'boc xe'!$B$2:$B$27,'chia CN boc xe'!$C30)</f>
        <v>0</v>
      </c>
      <c r="M30" s="419">
        <f>SUMIFS('boc xe'!AD$2:AD$27,'boc xe'!$B$2:$B$27,'chia CN boc xe'!$C30)</f>
        <v>0</v>
      </c>
      <c r="N30" s="419">
        <f>SUMIFS('boc xe'!AE$2:AE$27,'boc xe'!$B$2:$B$27,'chia CN boc xe'!$C30)</f>
        <v>0</v>
      </c>
      <c r="O30" s="419">
        <f>SUMIFS('boc xe'!AF$2:AF$27,'boc xe'!$B$2:$B$27,'chia CN boc xe'!$C30)</f>
        <v>0</v>
      </c>
      <c r="P30" s="419">
        <f>SUMIFS('boc xe'!AG$2:AG$27,'boc xe'!$B$2:$B$27,'chia CN boc xe'!$C30)</f>
        <v>0</v>
      </c>
      <c r="Q30" s="419">
        <f>SUMIFS('boc xe'!AH$2:AH$27,'boc xe'!$B$2:$B$27,'chia CN boc xe'!$C30)</f>
        <v>0</v>
      </c>
      <c r="R30" s="419">
        <f>SUMIFS('boc xe'!AI$2:AI$27,'boc xe'!$B$2:$B$27,'chia CN boc xe'!$C30)</f>
        <v>0</v>
      </c>
      <c r="S30" s="419">
        <f>SUMIFS('boc xe'!AJ$2:AJ$27,'boc xe'!$B$2:$B$27,'chia CN boc xe'!$C30)</f>
        <v>0</v>
      </c>
      <c r="U30" s="254" t="e">
        <f>'BANG LUONG 1'!#REF!</f>
        <v>#REF!</v>
      </c>
      <c r="V30" s="81">
        <f t="shared" si="1"/>
        <v>0</v>
      </c>
      <c r="W30" s="81">
        <f t="shared" si="2"/>
        <v>0</v>
      </c>
      <c r="X30" s="81">
        <f t="shared" si="3"/>
        <v>0</v>
      </c>
      <c r="Y30" s="81">
        <f t="shared" si="4"/>
        <v>0</v>
      </c>
      <c r="Z30" s="81">
        <f t="shared" si="5"/>
        <v>0</v>
      </c>
      <c r="AA30" s="81">
        <f t="shared" si="6"/>
        <v>0</v>
      </c>
      <c r="AB30" s="81">
        <f t="shared" si="7"/>
        <v>0</v>
      </c>
      <c r="AC30" s="81">
        <f t="shared" si="8"/>
        <v>0</v>
      </c>
      <c r="AD30" s="81">
        <f t="shared" si="9"/>
        <v>0</v>
      </c>
      <c r="AE30" s="81">
        <f t="shared" si="10"/>
        <v>0</v>
      </c>
      <c r="AF30" s="81">
        <f t="shared" si="11"/>
        <v>0</v>
      </c>
      <c r="AG30" s="81">
        <f t="shared" si="12"/>
        <v>0</v>
      </c>
      <c r="AH30" s="81">
        <f t="shared" si="13"/>
        <v>0</v>
      </c>
      <c r="AI30" s="81">
        <f t="shared" si="14"/>
        <v>0</v>
      </c>
      <c r="AJ30" s="81">
        <f t="shared" si="15"/>
        <v>0</v>
      </c>
      <c r="AK30" s="81">
        <f t="shared" si="16"/>
        <v>0</v>
      </c>
    </row>
    <row r="31" spans="1:37">
      <c r="A31" s="421">
        <v>29</v>
      </c>
      <c r="B31" s="545" t="s">
        <v>578</v>
      </c>
      <c r="C31" s="421">
        <v>6</v>
      </c>
      <c r="D31" s="419">
        <f>SUMIFS('boc xe'!U$2:U$27,'boc xe'!$B$2:$B$27,'chia CN boc xe'!$C31)</f>
        <v>0</v>
      </c>
      <c r="E31" s="419">
        <f>SUMIFS('boc xe'!V$2:V$27,'boc xe'!$B$2:$B$27,'chia CN boc xe'!$C31)</f>
        <v>0</v>
      </c>
      <c r="F31" s="419">
        <f>SUMIFS('boc xe'!W$2:W$27,'boc xe'!$B$2:$B$27,'chia CN boc xe'!$C31)</f>
        <v>0</v>
      </c>
      <c r="G31" s="419">
        <f>SUMIFS('boc xe'!X$2:X$27,'boc xe'!$B$2:$B$27,'chia CN boc xe'!$C31)</f>
        <v>8.2857142857142865</v>
      </c>
      <c r="H31" s="419">
        <f>SUMIFS('boc xe'!Y$2:Y$27,'boc xe'!$B$2:$B$27,'chia CN boc xe'!$C31)</f>
        <v>0</v>
      </c>
      <c r="I31" s="419">
        <f>SUMIFS('boc xe'!Z$2:Z$27,'boc xe'!$B$2:$B$27,'chia CN boc xe'!$C31)</f>
        <v>17.142857142857142</v>
      </c>
      <c r="J31" s="419">
        <f>SUMIFS('boc xe'!AA$2:AA$27,'boc xe'!$B$2:$B$27,'chia CN boc xe'!$C31)</f>
        <v>0</v>
      </c>
      <c r="K31" s="419">
        <f>SUMIFS('boc xe'!AB$2:AB$27,'boc xe'!$B$2:$B$27,'chia CN boc xe'!$C31)</f>
        <v>0</v>
      </c>
      <c r="L31" s="419">
        <f>SUMIFS('boc xe'!AC$2:AC$27,'boc xe'!$B$2:$B$27,'chia CN boc xe'!$C31)</f>
        <v>0</v>
      </c>
      <c r="M31" s="419">
        <f>SUMIFS('boc xe'!AD$2:AD$27,'boc xe'!$B$2:$B$27,'chia CN boc xe'!$C31)</f>
        <v>0</v>
      </c>
      <c r="N31" s="419">
        <f>SUMIFS('boc xe'!AE$2:AE$27,'boc xe'!$B$2:$B$27,'chia CN boc xe'!$C31)</f>
        <v>0</v>
      </c>
      <c r="O31" s="419">
        <f>SUMIFS('boc xe'!AF$2:AF$27,'boc xe'!$B$2:$B$27,'chia CN boc xe'!$C31)</f>
        <v>0</v>
      </c>
      <c r="P31" s="419">
        <f>SUMIFS('boc xe'!AG$2:AG$27,'boc xe'!$B$2:$B$27,'chia CN boc xe'!$C31)</f>
        <v>0</v>
      </c>
      <c r="Q31" s="419">
        <f>SUMIFS('boc xe'!AH$2:AH$27,'boc xe'!$B$2:$B$27,'chia CN boc xe'!$C31)</f>
        <v>0</v>
      </c>
      <c r="R31" s="419">
        <f>SUMIFS('boc xe'!AI$2:AI$27,'boc xe'!$B$2:$B$27,'chia CN boc xe'!$C31)</f>
        <v>0</v>
      </c>
      <c r="S31" s="419">
        <f>SUMIFS('boc xe'!AJ$2:AJ$27,'boc xe'!$B$2:$B$27,'chia CN boc xe'!$C31)</f>
        <v>0</v>
      </c>
      <c r="U31" s="254" t="e">
        <f>'BANG LUONG 1'!#REF!</f>
        <v>#REF!</v>
      </c>
      <c r="V31" s="81">
        <f t="shared" si="1"/>
        <v>0</v>
      </c>
      <c r="W31" s="81">
        <f t="shared" si="2"/>
        <v>0</v>
      </c>
      <c r="X31" s="81">
        <f t="shared" si="3"/>
        <v>0</v>
      </c>
      <c r="Y31" s="81">
        <f t="shared" si="4"/>
        <v>0</v>
      </c>
      <c r="Z31" s="81">
        <f t="shared" si="5"/>
        <v>0</v>
      </c>
      <c r="AA31" s="81">
        <f t="shared" si="6"/>
        <v>0</v>
      </c>
      <c r="AB31" s="81">
        <f t="shared" si="7"/>
        <v>0</v>
      </c>
      <c r="AC31" s="81">
        <f t="shared" si="8"/>
        <v>0</v>
      </c>
      <c r="AD31" s="81">
        <f t="shared" si="9"/>
        <v>0</v>
      </c>
      <c r="AE31" s="81">
        <f t="shared" si="10"/>
        <v>0</v>
      </c>
      <c r="AF31" s="81">
        <f t="shared" si="11"/>
        <v>0</v>
      </c>
      <c r="AG31" s="81">
        <f t="shared" si="12"/>
        <v>0</v>
      </c>
      <c r="AH31" s="81">
        <f t="shared" si="13"/>
        <v>0</v>
      </c>
      <c r="AI31" s="81">
        <f t="shared" si="14"/>
        <v>0</v>
      </c>
      <c r="AJ31" s="81">
        <f t="shared" si="15"/>
        <v>0</v>
      </c>
      <c r="AK31" s="81">
        <f t="shared" si="16"/>
        <v>0</v>
      </c>
    </row>
    <row r="32" spans="1:37">
      <c r="A32" s="421">
        <v>30</v>
      </c>
      <c r="B32" s="545" t="s">
        <v>599</v>
      </c>
      <c r="C32" s="421">
        <v>6</v>
      </c>
      <c r="D32" s="419">
        <f>SUMIFS('boc xe'!U$2:U$27,'boc xe'!$B$2:$B$27,'chia CN boc xe'!$C32)</f>
        <v>0</v>
      </c>
      <c r="E32" s="419">
        <f>SUMIFS('boc xe'!V$2:V$27,'boc xe'!$B$2:$B$27,'chia CN boc xe'!$C32)</f>
        <v>0</v>
      </c>
      <c r="F32" s="419">
        <f>SUMIFS('boc xe'!W$2:W$27,'boc xe'!$B$2:$B$27,'chia CN boc xe'!$C32)</f>
        <v>0</v>
      </c>
      <c r="G32" s="419">
        <f>SUMIFS('boc xe'!X$2:X$27,'boc xe'!$B$2:$B$27,'chia CN boc xe'!$C32)</f>
        <v>8.2857142857142865</v>
      </c>
      <c r="H32" s="419">
        <f>SUMIFS('boc xe'!Y$2:Y$27,'boc xe'!$B$2:$B$27,'chia CN boc xe'!$C32)</f>
        <v>0</v>
      </c>
      <c r="I32" s="419">
        <f>SUMIFS('boc xe'!Z$2:Z$27,'boc xe'!$B$2:$B$27,'chia CN boc xe'!$C32)</f>
        <v>17.142857142857142</v>
      </c>
      <c r="J32" s="419">
        <f>SUMIFS('boc xe'!AA$2:AA$27,'boc xe'!$B$2:$B$27,'chia CN boc xe'!$C32)</f>
        <v>0</v>
      </c>
      <c r="K32" s="419">
        <f>SUMIFS('boc xe'!AB$2:AB$27,'boc xe'!$B$2:$B$27,'chia CN boc xe'!$C32)</f>
        <v>0</v>
      </c>
      <c r="L32" s="419">
        <f>SUMIFS('boc xe'!AC$2:AC$27,'boc xe'!$B$2:$B$27,'chia CN boc xe'!$C32)</f>
        <v>0</v>
      </c>
      <c r="M32" s="419">
        <f>SUMIFS('boc xe'!AD$2:AD$27,'boc xe'!$B$2:$B$27,'chia CN boc xe'!$C32)</f>
        <v>0</v>
      </c>
      <c r="N32" s="419">
        <f>SUMIFS('boc xe'!AE$2:AE$27,'boc xe'!$B$2:$B$27,'chia CN boc xe'!$C32)</f>
        <v>0</v>
      </c>
      <c r="O32" s="419">
        <f>SUMIFS('boc xe'!AF$2:AF$27,'boc xe'!$B$2:$B$27,'chia CN boc xe'!$C32)</f>
        <v>0</v>
      </c>
      <c r="P32" s="419">
        <f>SUMIFS('boc xe'!AG$2:AG$27,'boc xe'!$B$2:$B$27,'chia CN boc xe'!$C32)</f>
        <v>0</v>
      </c>
      <c r="Q32" s="419">
        <f>SUMIFS('boc xe'!AH$2:AH$27,'boc xe'!$B$2:$B$27,'chia CN boc xe'!$C32)</f>
        <v>0</v>
      </c>
      <c r="R32" s="419">
        <f>SUMIFS('boc xe'!AI$2:AI$27,'boc xe'!$B$2:$B$27,'chia CN boc xe'!$C32)</f>
        <v>0</v>
      </c>
      <c r="S32" s="419">
        <f>SUMIFS('boc xe'!AJ$2:AJ$27,'boc xe'!$B$2:$B$27,'chia CN boc xe'!$C32)</f>
        <v>0</v>
      </c>
      <c r="U32" s="545" t="e">
        <f>'BANG LUONG 1'!#REF!</f>
        <v>#REF!</v>
      </c>
      <c r="V32" s="81">
        <f t="shared" si="1"/>
        <v>0</v>
      </c>
      <c r="W32" s="81">
        <f t="shared" si="2"/>
        <v>0</v>
      </c>
      <c r="X32" s="81">
        <f t="shared" si="3"/>
        <v>0</v>
      </c>
      <c r="Y32" s="81">
        <f t="shared" si="4"/>
        <v>0</v>
      </c>
      <c r="Z32" s="81">
        <f t="shared" si="5"/>
        <v>0</v>
      </c>
      <c r="AA32" s="81">
        <f t="shared" si="6"/>
        <v>0</v>
      </c>
      <c r="AB32" s="81">
        <f t="shared" si="7"/>
        <v>0</v>
      </c>
      <c r="AC32" s="81">
        <f t="shared" si="8"/>
        <v>0</v>
      </c>
      <c r="AD32" s="81">
        <f t="shared" si="9"/>
        <v>0</v>
      </c>
      <c r="AE32" s="81">
        <f t="shared" si="10"/>
        <v>0</v>
      </c>
      <c r="AF32" s="81">
        <f t="shared" si="11"/>
        <v>0</v>
      </c>
      <c r="AG32" s="81">
        <f t="shared" si="12"/>
        <v>0</v>
      </c>
      <c r="AH32" s="81">
        <f t="shared" si="13"/>
        <v>0</v>
      </c>
      <c r="AI32" s="81">
        <f t="shared" si="14"/>
        <v>0</v>
      </c>
      <c r="AJ32" s="81">
        <f t="shared" si="15"/>
        <v>0</v>
      </c>
      <c r="AK32" s="81">
        <f t="shared" si="16"/>
        <v>0</v>
      </c>
    </row>
    <row r="33" spans="1:37">
      <c r="A33" s="421">
        <v>31</v>
      </c>
      <c r="B33" s="545" t="s">
        <v>600</v>
      </c>
      <c r="C33" s="421">
        <v>6</v>
      </c>
      <c r="D33" s="419">
        <f>SUMIFS('boc xe'!U$2:U$27,'boc xe'!$B$2:$B$27,'chia CN boc xe'!$C33)</f>
        <v>0</v>
      </c>
      <c r="E33" s="419">
        <f>SUMIFS('boc xe'!V$2:V$27,'boc xe'!$B$2:$B$27,'chia CN boc xe'!$C33)</f>
        <v>0</v>
      </c>
      <c r="F33" s="419">
        <f>SUMIFS('boc xe'!W$2:W$27,'boc xe'!$B$2:$B$27,'chia CN boc xe'!$C33)</f>
        <v>0</v>
      </c>
      <c r="G33" s="419">
        <f>SUMIFS('boc xe'!X$2:X$27,'boc xe'!$B$2:$B$27,'chia CN boc xe'!$C33)</f>
        <v>8.2857142857142865</v>
      </c>
      <c r="H33" s="419">
        <f>SUMIFS('boc xe'!Y$2:Y$27,'boc xe'!$B$2:$B$27,'chia CN boc xe'!$C33)</f>
        <v>0</v>
      </c>
      <c r="I33" s="419">
        <f>SUMIFS('boc xe'!Z$2:Z$27,'boc xe'!$B$2:$B$27,'chia CN boc xe'!$C33)</f>
        <v>17.142857142857142</v>
      </c>
      <c r="J33" s="419">
        <f>SUMIFS('boc xe'!AA$2:AA$27,'boc xe'!$B$2:$B$27,'chia CN boc xe'!$C33)</f>
        <v>0</v>
      </c>
      <c r="K33" s="419">
        <f>SUMIFS('boc xe'!AB$2:AB$27,'boc xe'!$B$2:$B$27,'chia CN boc xe'!$C33)</f>
        <v>0</v>
      </c>
      <c r="L33" s="419">
        <f>SUMIFS('boc xe'!AC$2:AC$27,'boc xe'!$B$2:$B$27,'chia CN boc xe'!$C33)</f>
        <v>0</v>
      </c>
      <c r="M33" s="419">
        <f>SUMIFS('boc xe'!AD$2:AD$27,'boc xe'!$B$2:$B$27,'chia CN boc xe'!$C33)</f>
        <v>0</v>
      </c>
      <c r="N33" s="419">
        <f>SUMIFS('boc xe'!AE$2:AE$27,'boc xe'!$B$2:$B$27,'chia CN boc xe'!$C33)</f>
        <v>0</v>
      </c>
      <c r="O33" s="419">
        <f>SUMIFS('boc xe'!AF$2:AF$27,'boc xe'!$B$2:$B$27,'chia CN boc xe'!$C33)</f>
        <v>0</v>
      </c>
      <c r="P33" s="419">
        <f>SUMIFS('boc xe'!AG$2:AG$27,'boc xe'!$B$2:$B$27,'chia CN boc xe'!$C33)</f>
        <v>0</v>
      </c>
      <c r="Q33" s="419">
        <f>SUMIFS('boc xe'!AH$2:AH$27,'boc xe'!$B$2:$B$27,'chia CN boc xe'!$C33)</f>
        <v>0</v>
      </c>
      <c r="R33" s="419">
        <f>SUMIFS('boc xe'!AI$2:AI$27,'boc xe'!$B$2:$B$27,'chia CN boc xe'!$C33)</f>
        <v>0</v>
      </c>
      <c r="S33" s="419">
        <f>SUMIFS('boc xe'!AJ$2:AJ$27,'boc xe'!$B$2:$B$27,'chia CN boc xe'!$C33)</f>
        <v>0</v>
      </c>
      <c r="U33" s="546" t="e">
        <f>'BANG LUONG 1'!#REF!</f>
        <v>#REF!</v>
      </c>
      <c r="V33" s="81">
        <f t="shared" si="1"/>
        <v>0</v>
      </c>
      <c r="W33" s="81">
        <f t="shared" si="2"/>
        <v>0</v>
      </c>
      <c r="X33" s="81">
        <f t="shared" si="3"/>
        <v>0</v>
      </c>
      <c r="Y33" s="81">
        <f t="shared" si="4"/>
        <v>0</v>
      </c>
      <c r="Z33" s="81">
        <f t="shared" si="5"/>
        <v>0</v>
      </c>
      <c r="AA33" s="81">
        <f t="shared" si="6"/>
        <v>0</v>
      </c>
      <c r="AB33" s="81">
        <f t="shared" si="7"/>
        <v>0</v>
      </c>
      <c r="AC33" s="81">
        <f t="shared" si="8"/>
        <v>0</v>
      </c>
      <c r="AD33" s="81">
        <f t="shared" si="9"/>
        <v>0</v>
      </c>
      <c r="AE33" s="81">
        <f t="shared" si="10"/>
        <v>0</v>
      </c>
      <c r="AF33" s="81">
        <f t="shared" si="11"/>
        <v>0</v>
      </c>
      <c r="AG33" s="81">
        <f t="shared" si="12"/>
        <v>0</v>
      </c>
      <c r="AH33" s="81">
        <f t="shared" si="13"/>
        <v>0</v>
      </c>
      <c r="AI33" s="81">
        <f t="shared" si="14"/>
        <v>0</v>
      </c>
      <c r="AJ33" s="81">
        <f t="shared" si="15"/>
        <v>0</v>
      </c>
      <c r="AK33" s="81">
        <f t="shared" si="16"/>
        <v>0</v>
      </c>
    </row>
    <row r="34" spans="1:37">
      <c r="A34" s="421">
        <v>32</v>
      </c>
      <c r="B34" s="545" t="s">
        <v>604</v>
      </c>
      <c r="C34" s="421">
        <v>6</v>
      </c>
      <c r="D34" s="419">
        <f>SUMIFS('boc xe'!U$2:U$27,'boc xe'!$B$2:$B$27,'chia CN boc xe'!$C34)</f>
        <v>0</v>
      </c>
      <c r="E34" s="419">
        <f>SUMIFS('boc xe'!V$2:V$27,'boc xe'!$B$2:$B$27,'chia CN boc xe'!$C34)</f>
        <v>0</v>
      </c>
      <c r="F34" s="419">
        <f>SUMIFS('boc xe'!W$2:W$27,'boc xe'!$B$2:$B$27,'chia CN boc xe'!$C34)</f>
        <v>0</v>
      </c>
      <c r="G34" s="419">
        <f>SUMIFS('boc xe'!X$2:X$27,'boc xe'!$B$2:$B$27,'chia CN boc xe'!$C34)</f>
        <v>8.2857142857142865</v>
      </c>
      <c r="H34" s="419">
        <f>SUMIFS('boc xe'!Y$2:Y$27,'boc xe'!$B$2:$B$27,'chia CN boc xe'!$C34)</f>
        <v>0</v>
      </c>
      <c r="I34" s="419">
        <f>SUMIFS('boc xe'!Z$2:Z$27,'boc xe'!$B$2:$B$27,'chia CN boc xe'!$C34)</f>
        <v>17.142857142857142</v>
      </c>
      <c r="J34" s="419">
        <f>SUMIFS('boc xe'!AA$2:AA$27,'boc xe'!$B$2:$B$27,'chia CN boc xe'!$C34)</f>
        <v>0</v>
      </c>
      <c r="K34" s="419">
        <f>SUMIFS('boc xe'!AB$2:AB$27,'boc xe'!$B$2:$B$27,'chia CN boc xe'!$C34)</f>
        <v>0</v>
      </c>
      <c r="L34" s="419">
        <f>SUMIFS('boc xe'!AC$2:AC$27,'boc xe'!$B$2:$B$27,'chia CN boc xe'!$C34)</f>
        <v>0</v>
      </c>
      <c r="M34" s="419">
        <f>SUMIFS('boc xe'!AD$2:AD$27,'boc xe'!$B$2:$B$27,'chia CN boc xe'!$C34)</f>
        <v>0</v>
      </c>
      <c r="N34" s="419">
        <f>SUMIFS('boc xe'!AE$2:AE$27,'boc xe'!$B$2:$B$27,'chia CN boc xe'!$C34)</f>
        <v>0</v>
      </c>
      <c r="O34" s="419">
        <f>SUMIFS('boc xe'!AF$2:AF$27,'boc xe'!$B$2:$B$27,'chia CN boc xe'!$C34)</f>
        <v>0</v>
      </c>
      <c r="P34" s="419">
        <f>SUMIFS('boc xe'!AG$2:AG$27,'boc xe'!$B$2:$B$27,'chia CN boc xe'!$C34)</f>
        <v>0</v>
      </c>
      <c r="Q34" s="419">
        <f>SUMIFS('boc xe'!AH$2:AH$27,'boc xe'!$B$2:$B$27,'chia CN boc xe'!$C34)</f>
        <v>0</v>
      </c>
      <c r="R34" s="419">
        <f>SUMIFS('boc xe'!AI$2:AI$27,'boc xe'!$B$2:$B$27,'chia CN boc xe'!$C34)</f>
        <v>0</v>
      </c>
      <c r="S34" s="419">
        <f>SUMIFS('boc xe'!AJ$2:AJ$27,'boc xe'!$B$2:$B$27,'chia CN boc xe'!$C34)</f>
        <v>0</v>
      </c>
      <c r="U34" s="254" t="str">
        <f>'BANG LUONG 1'!C50</f>
        <v>Kim Em</v>
      </c>
      <c r="V34" s="81">
        <f t="shared" si="1"/>
        <v>0</v>
      </c>
      <c r="W34" s="81">
        <f t="shared" si="2"/>
        <v>0</v>
      </c>
      <c r="X34" s="81">
        <f t="shared" si="3"/>
        <v>0</v>
      </c>
      <c r="Y34" s="81">
        <f t="shared" si="4"/>
        <v>0</v>
      </c>
      <c r="Z34" s="81">
        <f t="shared" si="5"/>
        <v>0</v>
      </c>
      <c r="AA34" s="81">
        <f t="shared" si="6"/>
        <v>0</v>
      </c>
      <c r="AB34" s="81">
        <f t="shared" si="7"/>
        <v>0</v>
      </c>
      <c r="AC34" s="81">
        <f t="shared" si="8"/>
        <v>0</v>
      </c>
      <c r="AD34" s="81">
        <f t="shared" si="9"/>
        <v>0</v>
      </c>
      <c r="AE34" s="81">
        <f t="shared" si="10"/>
        <v>0</v>
      </c>
      <c r="AF34" s="81">
        <f t="shared" si="11"/>
        <v>0</v>
      </c>
      <c r="AG34" s="81">
        <f t="shared" si="12"/>
        <v>0</v>
      </c>
      <c r="AH34" s="81">
        <f t="shared" si="13"/>
        <v>0</v>
      </c>
      <c r="AI34" s="81">
        <f t="shared" si="14"/>
        <v>0</v>
      </c>
      <c r="AJ34" s="81">
        <f t="shared" si="15"/>
        <v>0</v>
      </c>
      <c r="AK34" s="81">
        <f t="shared" si="16"/>
        <v>0</v>
      </c>
    </row>
    <row r="35" spans="1:37">
      <c r="A35" s="421">
        <v>33</v>
      </c>
      <c r="B35" s="545" t="s">
        <v>749</v>
      </c>
      <c r="C35" s="421">
        <v>6</v>
      </c>
      <c r="D35" s="419">
        <f>SUMIFS('boc xe'!U$2:U$27,'boc xe'!$B$2:$B$27,'chia CN boc xe'!$C35)</f>
        <v>0</v>
      </c>
      <c r="E35" s="419">
        <f>SUMIFS('boc xe'!V$2:V$27,'boc xe'!$B$2:$B$27,'chia CN boc xe'!$C35)</f>
        <v>0</v>
      </c>
      <c r="F35" s="419">
        <f>SUMIFS('boc xe'!W$2:W$27,'boc xe'!$B$2:$B$27,'chia CN boc xe'!$C35)</f>
        <v>0</v>
      </c>
      <c r="G35" s="419">
        <f>SUMIFS('boc xe'!X$2:X$27,'boc xe'!$B$2:$B$27,'chia CN boc xe'!$C35)</f>
        <v>8.2857142857142865</v>
      </c>
      <c r="H35" s="419">
        <f>SUMIFS('boc xe'!Y$2:Y$27,'boc xe'!$B$2:$B$27,'chia CN boc xe'!$C35)</f>
        <v>0</v>
      </c>
      <c r="I35" s="419">
        <f>SUMIFS('boc xe'!Z$2:Z$27,'boc xe'!$B$2:$B$27,'chia CN boc xe'!$C35)</f>
        <v>17.142857142857142</v>
      </c>
      <c r="J35" s="419">
        <f>SUMIFS('boc xe'!AA$2:AA$27,'boc xe'!$B$2:$B$27,'chia CN boc xe'!$C35)</f>
        <v>0</v>
      </c>
      <c r="K35" s="419">
        <f>SUMIFS('boc xe'!AB$2:AB$27,'boc xe'!$B$2:$B$27,'chia CN boc xe'!$C35)</f>
        <v>0</v>
      </c>
      <c r="L35" s="419">
        <f>SUMIFS('boc xe'!AC$2:AC$27,'boc xe'!$B$2:$B$27,'chia CN boc xe'!$C35)</f>
        <v>0</v>
      </c>
      <c r="M35" s="419">
        <f>SUMIFS('boc xe'!AD$2:AD$27,'boc xe'!$B$2:$B$27,'chia CN boc xe'!$C35)</f>
        <v>0</v>
      </c>
      <c r="N35" s="419">
        <f>SUMIFS('boc xe'!AE$2:AE$27,'boc xe'!$B$2:$B$27,'chia CN boc xe'!$C35)</f>
        <v>0</v>
      </c>
      <c r="O35" s="419">
        <f>SUMIFS('boc xe'!AF$2:AF$27,'boc xe'!$B$2:$B$27,'chia CN boc xe'!$C35)</f>
        <v>0</v>
      </c>
      <c r="P35" s="419">
        <f>SUMIFS('boc xe'!AG$2:AG$27,'boc xe'!$B$2:$B$27,'chia CN boc xe'!$C35)</f>
        <v>0</v>
      </c>
      <c r="Q35" s="419">
        <f>SUMIFS('boc xe'!AH$2:AH$27,'boc xe'!$B$2:$B$27,'chia CN boc xe'!$C35)</f>
        <v>0</v>
      </c>
      <c r="R35" s="419">
        <f>SUMIFS('boc xe'!AI$2:AI$27,'boc xe'!$B$2:$B$27,'chia CN boc xe'!$C35)</f>
        <v>0</v>
      </c>
      <c r="S35" s="419">
        <f>SUMIFS('boc xe'!AJ$2:AJ$27,'boc xe'!$B$2:$B$27,'chia CN boc xe'!$C35)</f>
        <v>0</v>
      </c>
      <c r="U35" s="545" t="e">
        <f>'BANG LUONG 1'!#REF!</f>
        <v>#REF!</v>
      </c>
      <c r="V35" s="81">
        <f t="shared" ref="V35:V66" si="17">SUMIF($B$3:$B$131,$U35,D$3:D$131)</f>
        <v>0</v>
      </c>
      <c r="W35" s="81">
        <f t="shared" ref="W35:W66" si="18">SUMIF($B$3:$B$131,$U35,E$3:E$131)</f>
        <v>0</v>
      </c>
      <c r="X35" s="81">
        <f t="shared" ref="X35:X66" si="19">SUMIF($B$3:$B$131,$U35,F$3:F$131)</f>
        <v>0</v>
      </c>
      <c r="Y35" s="81">
        <f t="shared" ref="Y35:Y66" si="20">SUMIF($B$3:$B$131,$U35,G$3:G$131)</f>
        <v>0</v>
      </c>
      <c r="Z35" s="81">
        <f t="shared" ref="Z35:Z66" si="21">SUMIF($B$3:$B$131,$U35,H$3:H$131)</f>
        <v>0</v>
      </c>
      <c r="AA35" s="81">
        <f t="shared" ref="AA35:AA66" si="22">SUMIF($B$3:$B$131,$U35,I$3:I$131)</f>
        <v>0</v>
      </c>
      <c r="AB35" s="81">
        <f t="shared" ref="AB35:AB66" si="23">SUMIF($B$3:$B$131,$U35,J$3:J$131)</f>
        <v>0</v>
      </c>
      <c r="AC35" s="81">
        <f t="shared" ref="AC35:AC66" si="24">SUMIF($B$3:$B$131,$U35,K$3:K$131)</f>
        <v>0</v>
      </c>
      <c r="AD35" s="81">
        <f t="shared" ref="AD35:AD66" si="25">SUMIF($B$3:$B$131,$U35,L$3:L$131)</f>
        <v>0</v>
      </c>
      <c r="AE35" s="81">
        <f t="shared" ref="AE35:AE66" si="26">SUMIF($B$3:$B$131,$U35,M$3:M$131)</f>
        <v>0</v>
      </c>
      <c r="AF35" s="81">
        <f t="shared" ref="AF35:AF66" si="27">SUMIF($B$3:$B$131,$U35,N$3:N$131)</f>
        <v>0</v>
      </c>
      <c r="AG35" s="81">
        <f t="shared" ref="AG35:AG66" si="28">SUMIF($B$3:$B$131,$U35,O$3:O$131)</f>
        <v>0</v>
      </c>
      <c r="AH35" s="81">
        <f t="shared" ref="AH35:AH66" si="29">SUMIF($B$3:$B$131,$U35,P$3:P$131)</f>
        <v>0</v>
      </c>
      <c r="AI35" s="81">
        <f t="shared" ref="AI35:AI66" si="30">SUMIF($B$3:$B$131,$U35,Q$3:Q$131)</f>
        <v>0</v>
      </c>
      <c r="AJ35" s="81">
        <f t="shared" ref="AJ35:AJ66" si="31">SUMIF($B$3:$B$131,$U35,R$3:R$131)</f>
        <v>0</v>
      </c>
      <c r="AK35" s="81">
        <f t="shared" ref="AK35:AK66" si="32">SUMIF($B$3:$B$131,$U35,S$3:S$131)</f>
        <v>0</v>
      </c>
    </row>
    <row r="36" spans="1:37">
      <c r="A36" s="421">
        <v>34</v>
      </c>
      <c r="B36" s="545" t="s">
        <v>756</v>
      </c>
      <c r="C36" s="421">
        <v>6</v>
      </c>
      <c r="D36" s="419">
        <f>SUMIFS('boc xe'!U$2:U$27,'boc xe'!$B$2:$B$27,'chia CN boc xe'!$C36)</f>
        <v>0</v>
      </c>
      <c r="E36" s="419">
        <f>SUMIFS('boc xe'!V$2:V$27,'boc xe'!$B$2:$B$27,'chia CN boc xe'!$C36)</f>
        <v>0</v>
      </c>
      <c r="F36" s="419">
        <f>SUMIFS('boc xe'!W$2:W$27,'boc xe'!$B$2:$B$27,'chia CN boc xe'!$C36)</f>
        <v>0</v>
      </c>
      <c r="G36" s="419">
        <f>SUMIFS('boc xe'!X$2:X$27,'boc xe'!$B$2:$B$27,'chia CN boc xe'!$C36)</f>
        <v>8.2857142857142865</v>
      </c>
      <c r="H36" s="419">
        <f>SUMIFS('boc xe'!Y$2:Y$27,'boc xe'!$B$2:$B$27,'chia CN boc xe'!$C36)</f>
        <v>0</v>
      </c>
      <c r="I36" s="419">
        <f>SUMIFS('boc xe'!Z$2:Z$27,'boc xe'!$B$2:$B$27,'chia CN boc xe'!$C36)</f>
        <v>17.142857142857142</v>
      </c>
      <c r="J36" s="419">
        <f>SUMIFS('boc xe'!AA$2:AA$27,'boc xe'!$B$2:$B$27,'chia CN boc xe'!$C36)</f>
        <v>0</v>
      </c>
      <c r="K36" s="419">
        <f>SUMIFS('boc xe'!AB$2:AB$27,'boc xe'!$B$2:$B$27,'chia CN boc xe'!$C36)</f>
        <v>0</v>
      </c>
      <c r="L36" s="419">
        <f>SUMIFS('boc xe'!AC$2:AC$27,'boc xe'!$B$2:$B$27,'chia CN boc xe'!$C36)</f>
        <v>0</v>
      </c>
      <c r="M36" s="419">
        <f>SUMIFS('boc xe'!AD$2:AD$27,'boc xe'!$B$2:$B$27,'chia CN boc xe'!$C36)</f>
        <v>0</v>
      </c>
      <c r="N36" s="419">
        <f>SUMIFS('boc xe'!AE$2:AE$27,'boc xe'!$B$2:$B$27,'chia CN boc xe'!$C36)</f>
        <v>0</v>
      </c>
      <c r="O36" s="419">
        <f>SUMIFS('boc xe'!AF$2:AF$27,'boc xe'!$B$2:$B$27,'chia CN boc xe'!$C36)</f>
        <v>0</v>
      </c>
      <c r="P36" s="419">
        <f>SUMIFS('boc xe'!AG$2:AG$27,'boc xe'!$B$2:$B$27,'chia CN boc xe'!$C36)</f>
        <v>0</v>
      </c>
      <c r="Q36" s="419">
        <f>SUMIFS('boc xe'!AH$2:AH$27,'boc xe'!$B$2:$B$27,'chia CN boc xe'!$C36)</f>
        <v>0</v>
      </c>
      <c r="R36" s="419">
        <f>SUMIFS('boc xe'!AI$2:AI$27,'boc xe'!$B$2:$B$27,'chia CN boc xe'!$C36)</f>
        <v>0</v>
      </c>
      <c r="S36" s="419">
        <f>SUMIFS('boc xe'!AJ$2:AJ$27,'boc xe'!$B$2:$B$27,'chia CN boc xe'!$C36)</f>
        <v>0</v>
      </c>
      <c r="U36" s="545" t="e">
        <f>'BANG LUONG 1'!#REF!</f>
        <v>#REF!</v>
      </c>
      <c r="V36" s="81">
        <f t="shared" si="17"/>
        <v>0</v>
      </c>
      <c r="W36" s="81">
        <f t="shared" si="18"/>
        <v>0</v>
      </c>
      <c r="X36" s="81">
        <f t="shared" si="19"/>
        <v>0</v>
      </c>
      <c r="Y36" s="81">
        <f t="shared" si="20"/>
        <v>0</v>
      </c>
      <c r="Z36" s="81">
        <f t="shared" si="21"/>
        <v>0</v>
      </c>
      <c r="AA36" s="81">
        <f t="shared" si="22"/>
        <v>0</v>
      </c>
      <c r="AB36" s="81">
        <f t="shared" si="23"/>
        <v>0</v>
      </c>
      <c r="AC36" s="81">
        <f t="shared" si="24"/>
        <v>0</v>
      </c>
      <c r="AD36" s="81">
        <f t="shared" si="25"/>
        <v>0</v>
      </c>
      <c r="AE36" s="81">
        <f t="shared" si="26"/>
        <v>0</v>
      </c>
      <c r="AF36" s="81">
        <f t="shared" si="27"/>
        <v>0</v>
      </c>
      <c r="AG36" s="81">
        <f t="shared" si="28"/>
        <v>0</v>
      </c>
      <c r="AH36" s="81">
        <f t="shared" si="29"/>
        <v>0</v>
      </c>
      <c r="AI36" s="81">
        <f t="shared" si="30"/>
        <v>0</v>
      </c>
      <c r="AJ36" s="81">
        <f t="shared" si="31"/>
        <v>0</v>
      </c>
      <c r="AK36" s="81">
        <f t="shared" si="32"/>
        <v>0</v>
      </c>
    </row>
    <row r="37" spans="1:37">
      <c r="A37" s="421">
        <v>35</v>
      </c>
      <c r="B37" s="545" t="s">
        <v>755</v>
      </c>
      <c r="C37" s="421">
        <v>6</v>
      </c>
      <c r="D37" s="419">
        <f>SUMIFS('boc xe'!U$2:U$27,'boc xe'!$B$2:$B$27,'chia CN boc xe'!$C37)</f>
        <v>0</v>
      </c>
      <c r="E37" s="419">
        <f>SUMIFS('boc xe'!V$2:V$27,'boc xe'!$B$2:$B$27,'chia CN boc xe'!$C37)</f>
        <v>0</v>
      </c>
      <c r="F37" s="419">
        <f>SUMIFS('boc xe'!W$2:W$27,'boc xe'!$B$2:$B$27,'chia CN boc xe'!$C37)</f>
        <v>0</v>
      </c>
      <c r="G37" s="419">
        <f>SUMIFS('boc xe'!X$2:X$27,'boc xe'!$B$2:$B$27,'chia CN boc xe'!$C37)</f>
        <v>8.2857142857142865</v>
      </c>
      <c r="H37" s="419">
        <f>SUMIFS('boc xe'!Y$2:Y$27,'boc xe'!$B$2:$B$27,'chia CN boc xe'!$C37)</f>
        <v>0</v>
      </c>
      <c r="I37" s="419">
        <f>SUMIFS('boc xe'!Z$2:Z$27,'boc xe'!$B$2:$B$27,'chia CN boc xe'!$C37)</f>
        <v>17.142857142857142</v>
      </c>
      <c r="J37" s="419">
        <f>SUMIFS('boc xe'!AA$2:AA$27,'boc xe'!$B$2:$B$27,'chia CN boc xe'!$C37)</f>
        <v>0</v>
      </c>
      <c r="K37" s="419">
        <f>SUMIFS('boc xe'!AB$2:AB$27,'boc xe'!$B$2:$B$27,'chia CN boc xe'!$C37)</f>
        <v>0</v>
      </c>
      <c r="L37" s="419">
        <f>SUMIFS('boc xe'!AC$2:AC$27,'boc xe'!$B$2:$B$27,'chia CN boc xe'!$C37)</f>
        <v>0</v>
      </c>
      <c r="M37" s="419">
        <f>SUMIFS('boc xe'!AD$2:AD$27,'boc xe'!$B$2:$B$27,'chia CN boc xe'!$C37)</f>
        <v>0</v>
      </c>
      <c r="N37" s="419">
        <f>SUMIFS('boc xe'!AE$2:AE$27,'boc xe'!$B$2:$B$27,'chia CN boc xe'!$C37)</f>
        <v>0</v>
      </c>
      <c r="O37" s="419">
        <f>SUMIFS('boc xe'!AF$2:AF$27,'boc xe'!$B$2:$B$27,'chia CN boc xe'!$C37)</f>
        <v>0</v>
      </c>
      <c r="P37" s="419">
        <f>SUMIFS('boc xe'!AG$2:AG$27,'boc xe'!$B$2:$B$27,'chia CN boc xe'!$C37)</f>
        <v>0</v>
      </c>
      <c r="Q37" s="419">
        <f>SUMIFS('boc xe'!AH$2:AH$27,'boc xe'!$B$2:$B$27,'chia CN boc xe'!$C37)</f>
        <v>0</v>
      </c>
      <c r="R37" s="419">
        <f>SUMIFS('boc xe'!AI$2:AI$27,'boc xe'!$B$2:$B$27,'chia CN boc xe'!$C37)</f>
        <v>0</v>
      </c>
      <c r="S37" s="419">
        <f>SUMIFS('boc xe'!AJ$2:AJ$27,'boc xe'!$B$2:$B$27,'chia CN boc xe'!$C37)</f>
        <v>0</v>
      </c>
      <c r="U37" s="545" t="e">
        <f>'BANG LUONG 1'!#REF!</f>
        <v>#REF!</v>
      </c>
      <c r="V37" s="81">
        <f t="shared" si="17"/>
        <v>0</v>
      </c>
      <c r="W37" s="81">
        <f t="shared" si="18"/>
        <v>0</v>
      </c>
      <c r="X37" s="81">
        <f t="shared" si="19"/>
        <v>0</v>
      </c>
      <c r="Y37" s="81">
        <f t="shared" si="20"/>
        <v>0</v>
      </c>
      <c r="Z37" s="81">
        <f t="shared" si="21"/>
        <v>0</v>
      </c>
      <c r="AA37" s="81">
        <f t="shared" si="22"/>
        <v>0</v>
      </c>
      <c r="AB37" s="81">
        <f t="shared" si="23"/>
        <v>0</v>
      </c>
      <c r="AC37" s="81">
        <f t="shared" si="24"/>
        <v>0</v>
      </c>
      <c r="AD37" s="81">
        <f t="shared" si="25"/>
        <v>0</v>
      </c>
      <c r="AE37" s="81">
        <f t="shared" si="26"/>
        <v>0</v>
      </c>
      <c r="AF37" s="81">
        <f t="shared" si="27"/>
        <v>0</v>
      </c>
      <c r="AG37" s="81">
        <f t="shared" si="28"/>
        <v>0</v>
      </c>
      <c r="AH37" s="81">
        <f t="shared" si="29"/>
        <v>0</v>
      </c>
      <c r="AI37" s="81">
        <f t="shared" si="30"/>
        <v>0</v>
      </c>
      <c r="AJ37" s="81">
        <f t="shared" si="31"/>
        <v>0</v>
      </c>
      <c r="AK37" s="81">
        <f t="shared" si="32"/>
        <v>0</v>
      </c>
    </row>
    <row r="38" spans="1:37">
      <c r="A38" s="421">
        <v>36</v>
      </c>
      <c r="B38" s="546" t="s">
        <v>84</v>
      </c>
      <c r="C38" s="421">
        <v>7</v>
      </c>
      <c r="D38" s="419">
        <f>SUMIFS('boc xe'!U$2:U$27,'boc xe'!$B$2:$B$27,'chia CN boc xe'!$C38)</f>
        <v>9</v>
      </c>
      <c r="E38" s="419">
        <f>SUMIFS('boc xe'!V$2:V$27,'boc xe'!$B$2:$B$27,'chia CN boc xe'!$C38)</f>
        <v>8.8571428571428577</v>
      </c>
      <c r="F38" s="419">
        <f>SUMIFS('boc xe'!W$2:W$27,'boc xe'!$B$2:$B$27,'chia CN boc xe'!$C38)</f>
        <v>4.5714285714285712</v>
      </c>
      <c r="G38" s="419">
        <f>SUMIFS('boc xe'!X$2:X$27,'boc xe'!$B$2:$B$27,'chia CN boc xe'!$C38)</f>
        <v>26.428571428571427</v>
      </c>
      <c r="H38" s="419">
        <f>SUMIFS('boc xe'!Y$2:Y$27,'boc xe'!$B$2:$B$27,'chia CN boc xe'!$C38)</f>
        <v>0</v>
      </c>
      <c r="I38" s="419">
        <f>SUMIFS('boc xe'!Z$2:Z$27,'boc xe'!$B$2:$B$27,'chia CN boc xe'!$C38)</f>
        <v>10.285714285714286</v>
      </c>
      <c r="J38" s="419">
        <f>SUMIFS('boc xe'!AA$2:AA$27,'boc xe'!$B$2:$B$27,'chia CN boc xe'!$C38)</f>
        <v>0</v>
      </c>
      <c r="K38" s="419">
        <f>SUMIFS('boc xe'!AB$2:AB$27,'boc xe'!$B$2:$B$27,'chia CN boc xe'!$C38)</f>
        <v>11.428571428571429</v>
      </c>
      <c r="L38" s="419">
        <f>SUMIFS('boc xe'!AC$2:AC$27,'boc xe'!$B$2:$B$27,'chia CN boc xe'!$C38)</f>
        <v>15</v>
      </c>
      <c r="M38" s="419">
        <f>SUMIFS('boc xe'!AD$2:AD$27,'boc xe'!$B$2:$B$27,'chia CN boc xe'!$C38)</f>
        <v>0</v>
      </c>
      <c r="N38" s="419">
        <f>SUMIFS('boc xe'!AE$2:AE$27,'boc xe'!$B$2:$B$27,'chia CN boc xe'!$C38)</f>
        <v>0</v>
      </c>
      <c r="O38" s="419">
        <f>SUMIFS('boc xe'!AF$2:AF$27,'boc xe'!$B$2:$B$27,'chia CN boc xe'!$C38)</f>
        <v>0</v>
      </c>
      <c r="P38" s="419">
        <f>SUMIFS('boc xe'!AG$2:AG$27,'boc xe'!$B$2:$B$27,'chia CN boc xe'!$C38)</f>
        <v>0</v>
      </c>
      <c r="Q38" s="419">
        <f>SUMIFS('boc xe'!AH$2:AH$27,'boc xe'!$B$2:$B$27,'chia CN boc xe'!$C38)</f>
        <v>0</v>
      </c>
      <c r="R38" s="419">
        <f>SUMIFS('boc xe'!AI$2:AI$27,'boc xe'!$B$2:$B$27,'chia CN boc xe'!$C38)</f>
        <v>0</v>
      </c>
      <c r="S38" s="419">
        <f>SUMIFS('boc xe'!AJ$2:AJ$27,'boc xe'!$B$2:$B$27,'chia CN boc xe'!$C38)</f>
        <v>0</v>
      </c>
      <c r="U38" s="546" t="e">
        <f>'BANG LUONG 1'!#REF!</f>
        <v>#REF!</v>
      </c>
      <c r="V38" s="81">
        <f t="shared" si="17"/>
        <v>0</v>
      </c>
      <c r="W38" s="81">
        <f t="shared" si="18"/>
        <v>0</v>
      </c>
      <c r="X38" s="81">
        <f t="shared" si="19"/>
        <v>0</v>
      </c>
      <c r="Y38" s="81">
        <f t="shared" si="20"/>
        <v>0</v>
      </c>
      <c r="Z38" s="81">
        <f t="shared" si="21"/>
        <v>0</v>
      </c>
      <c r="AA38" s="81">
        <f t="shared" si="22"/>
        <v>0</v>
      </c>
      <c r="AB38" s="81">
        <f t="shared" si="23"/>
        <v>0</v>
      </c>
      <c r="AC38" s="81">
        <f t="shared" si="24"/>
        <v>0</v>
      </c>
      <c r="AD38" s="81">
        <f t="shared" si="25"/>
        <v>0</v>
      </c>
      <c r="AE38" s="81">
        <f t="shared" si="26"/>
        <v>0</v>
      </c>
      <c r="AF38" s="81">
        <f t="shared" si="27"/>
        <v>0</v>
      </c>
      <c r="AG38" s="81">
        <f t="shared" si="28"/>
        <v>0</v>
      </c>
      <c r="AH38" s="81">
        <f t="shared" si="29"/>
        <v>0</v>
      </c>
      <c r="AI38" s="81">
        <f t="shared" si="30"/>
        <v>0</v>
      </c>
      <c r="AJ38" s="81">
        <f t="shared" si="31"/>
        <v>0</v>
      </c>
      <c r="AK38" s="81">
        <f t="shared" si="32"/>
        <v>0</v>
      </c>
    </row>
    <row r="39" spans="1:37">
      <c r="A39" s="421">
        <v>37</v>
      </c>
      <c r="B39" s="545" t="s">
        <v>614</v>
      </c>
      <c r="C39" s="421">
        <v>7</v>
      </c>
      <c r="D39" s="419">
        <f>SUMIFS('boc xe'!U$2:U$27,'boc xe'!$B$2:$B$27,'chia CN boc xe'!$C39)</f>
        <v>9</v>
      </c>
      <c r="E39" s="419">
        <f>SUMIFS('boc xe'!V$2:V$27,'boc xe'!$B$2:$B$27,'chia CN boc xe'!$C39)</f>
        <v>8.8571428571428577</v>
      </c>
      <c r="F39" s="419">
        <f>SUMIFS('boc xe'!W$2:W$27,'boc xe'!$B$2:$B$27,'chia CN boc xe'!$C39)</f>
        <v>4.5714285714285712</v>
      </c>
      <c r="G39" s="419">
        <f>SUMIFS('boc xe'!X$2:X$27,'boc xe'!$B$2:$B$27,'chia CN boc xe'!$C39)</f>
        <v>26.428571428571427</v>
      </c>
      <c r="H39" s="419">
        <f>SUMIFS('boc xe'!Y$2:Y$27,'boc xe'!$B$2:$B$27,'chia CN boc xe'!$C39)</f>
        <v>0</v>
      </c>
      <c r="I39" s="419">
        <f>SUMIFS('boc xe'!Z$2:Z$27,'boc xe'!$B$2:$B$27,'chia CN boc xe'!$C39)</f>
        <v>10.285714285714286</v>
      </c>
      <c r="J39" s="419">
        <f>SUMIFS('boc xe'!AA$2:AA$27,'boc xe'!$B$2:$B$27,'chia CN boc xe'!$C39)</f>
        <v>0</v>
      </c>
      <c r="K39" s="419">
        <f>SUMIFS('boc xe'!AB$2:AB$27,'boc xe'!$B$2:$B$27,'chia CN boc xe'!$C39)</f>
        <v>11.428571428571429</v>
      </c>
      <c r="L39" s="419">
        <f>SUMIFS('boc xe'!AC$2:AC$27,'boc xe'!$B$2:$B$27,'chia CN boc xe'!$C39)</f>
        <v>15</v>
      </c>
      <c r="M39" s="419">
        <f>SUMIFS('boc xe'!AD$2:AD$27,'boc xe'!$B$2:$B$27,'chia CN boc xe'!$C39)</f>
        <v>0</v>
      </c>
      <c r="N39" s="419">
        <f>SUMIFS('boc xe'!AE$2:AE$27,'boc xe'!$B$2:$B$27,'chia CN boc xe'!$C39)</f>
        <v>0</v>
      </c>
      <c r="O39" s="419">
        <f>SUMIFS('boc xe'!AF$2:AF$27,'boc xe'!$B$2:$B$27,'chia CN boc xe'!$C39)</f>
        <v>0</v>
      </c>
      <c r="P39" s="419">
        <f>SUMIFS('boc xe'!AG$2:AG$27,'boc xe'!$B$2:$B$27,'chia CN boc xe'!$C39)</f>
        <v>0</v>
      </c>
      <c r="Q39" s="419">
        <f>SUMIFS('boc xe'!AH$2:AH$27,'boc xe'!$B$2:$B$27,'chia CN boc xe'!$C39)</f>
        <v>0</v>
      </c>
      <c r="R39" s="419">
        <f>SUMIFS('boc xe'!AI$2:AI$27,'boc xe'!$B$2:$B$27,'chia CN boc xe'!$C39)</f>
        <v>0</v>
      </c>
      <c r="S39" s="419">
        <f>SUMIFS('boc xe'!AJ$2:AJ$27,'boc xe'!$B$2:$B$27,'chia CN boc xe'!$C39)</f>
        <v>0</v>
      </c>
      <c r="U39" s="254" t="e">
        <f>'BANG LUONG 1'!#REF!</f>
        <v>#REF!</v>
      </c>
      <c r="V39" s="81">
        <f t="shared" si="17"/>
        <v>0</v>
      </c>
      <c r="W39" s="81">
        <f t="shared" si="18"/>
        <v>0</v>
      </c>
      <c r="X39" s="81">
        <f t="shared" si="19"/>
        <v>0</v>
      </c>
      <c r="Y39" s="81">
        <f t="shared" si="20"/>
        <v>0</v>
      </c>
      <c r="Z39" s="81">
        <f t="shared" si="21"/>
        <v>0</v>
      </c>
      <c r="AA39" s="81">
        <f t="shared" si="22"/>
        <v>0</v>
      </c>
      <c r="AB39" s="81">
        <f t="shared" si="23"/>
        <v>0</v>
      </c>
      <c r="AC39" s="81">
        <f t="shared" si="24"/>
        <v>0</v>
      </c>
      <c r="AD39" s="81">
        <f t="shared" si="25"/>
        <v>0</v>
      </c>
      <c r="AE39" s="81">
        <f t="shared" si="26"/>
        <v>0</v>
      </c>
      <c r="AF39" s="81">
        <f t="shared" si="27"/>
        <v>0</v>
      </c>
      <c r="AG39" s="81">
        <f t="shared" si="28"/>
        <v>0</v>
      </c>
      <c r="AH39" s="81">
        <f t="shared" si="29"/>
        <v>0</v>
      </c>
      <c r="AI39" s="81">
        <f t="shared" si="30"/>
        <v>0</v>
      </c>
      <c r="AJ39" s="81">
        <f t="shared" si="31"/>
        <v>0</v>
      </c>
      <c r="AK39" s="81">
        <f t="shared" si="32"/>
        <v>0</v>
      </c>
    </row>
    <row r="40" spans="1:37">
      <c r="A40" s="421">
        <v>38</v>
      </c>
      <c r="B40" s="546" t="s">
        <v>615</v>
      </c>
      <c r="C40" s="421">
        <v>7</v>
      </c>
      <c r="D40" s="419">
        <f>SUMIFS('boc xe'!U$2:U$27,'boc xe'!$B$2:$B$27,'chia CN boc xe'!$C40)</f>
        <v>9</v>
      </c>
      <c r="E40" s="419">
        <f>SUMIFS('boc xe'!V$2:V$27,'boc xe'!$B$2:$B$27,'chia CN boc xe'!$C40)</f>
        <v>8.8571428571428577</v>
      </c>
      <c r="F40" s="419">
        <f>SUMIFS('boc xe'!W$2:W$27,'boc xe'!$B$2:$B$27,'chia CN boc xe'!$C40)</f>
        <v>4.5714285714285712</v>
      </c>
      <c r="G40" s="419">
        <f>SUMIFS('boc xe'!X$2:X$27,'boc xe'!$B$2:$B$27,'chia CN boc xe'!$C40)</f>
        <v>26.428571428571427</v>
      </c>
      <c r="H40" s="419">
        <f>SUMIFS('boc xe'!Y$2:Y$27,'boc xe'!$B$2:$B$27,'chia CN boc xe'!$C40)</f>
        <v>0</v>
      </c>
      <c r="I40" s="419">
        <f>SUMIFS('boc xe'!Z$2:Z$27,'boc xe'!$B$2:$B$27,'chia CN boc xe'!$C40)</f>
        <v>10.285714285714286</v>
      </c>
      <c r="J40" s="419">
        <f>SUMIFS('boc xe'!AA$2:AA$27,'boc xe'!$B$2:$B$27,'chia CN boc xe'!$C40)</f>
        <v>0</v>
      </c>
      <c r="K40" s="419">
        <f>SUMIFS('boc xe'!AB$2:AB$27,'boc xe'!$B$2:$B$27,'chia CN boc xe'!$C40)</f>
        <v>11.428571428571429</v>
      </c>
      <c r="L40" s="419">
        <f>SUMIFS('boc xe'!AC$2:AC$27,'boc xe'!$B$2:$B$27,'chia CN boc xe'!$C40)</f>
        <v>15</v>
      </c>
      <c r="M40" s="419">
        <f>SUMIFS('boc xe'!AD$2:AD$27,'boc xe'!$B$2:$B$27,'chia CN boc xe'!$C40)</f>
        <v>0</v>
      </c>
      <c r="N40" s="419">
        <f>SUMIFS('boc xe'!AE$2:AE$27,'boc xe'!$B$2:$B$27,'chia CN boc xe'!$C40)</f>
        <v>0</v>
      </c>
      <c r="O40" s="419">
        <f>SUMIFS('boc xe'!AF$2:AF$27,'boc xe'!$B$2:$B$27,'chia CN boc xe'!$C40)</f>
        <v>0</v>
      </c>
      <c r="P40" s="419">
        <f>SUMIFS('boc xe'!AG$2:AG$27,'boc xe'!$B$2:$B$27,'chia CN boc xe'!$C40)</f>
        <v>0</v>
      </c>
      <c r="Q40" s="419">
        <f>SUMIFS('boc xe'!AH$2:AH$27,'boc xe'!$B$2:$B$27,'chia CN boc xe'!$C40)</f>
        <v>0</v>
      </c>
      <c r="R40" s="419">
        <f>SUMIFS('boc xe'!AI$2:AI$27,'boc xe'!$B$2:$B$27,'chia CN boc xe'!$C40)</f>
        <v>0</v>
      </c>
      <c r="S40" s="419">
        <f>SUMIFS('boc xe'!AJ$2:AJ$27,'boc xe'!$B$2:$B$27,'chia CN boc xe'!$C40)</f>
        <v>0</v>
      </c>
      <c r="U40" s="545" t="e">
        <f>'BANG LUONG 1'!#REF!</f>
        <v>#REF!</v>
      </c>
      <c r="V40" s="81">
        <f t="shared" si="17"/>
        <v>0</v>
      </c>
      <c r="W40" s="81">
        <f t="shared" si="18"/>
        <v>0</v>
      </c>
      <c r="X40" s="81">
        <f t="shared" si="19"/>
        <v>0</v>
      </c>
      <c r="Y40" s="81">
        <f t="shared" si="20"/>
        <v>0</v>
      </c>
      <c r="Z40" s="81">
        <f t="shared" si="21"/>
        <v>0</v>
      </c>
      <c r="AA40" s="81">
        <f t="shared" si="22"/>
        <v>0</v>
      </c>
      <c r="AB40" s="81">
        <f t="shared" si="23"/>
        <v>0</v>
      </c>
      <c r="AC40" s="81">
        <f t="shared" si="24"/>
        <v>0</v>
      </c>
      <c r="AD40" s="81">
        <f t="shared" si="25"/>
        <v>0</v>
      </c>
      <c r="AE40" s="81">
        <f t="shared" si="26"/>
        <v>0</v>
      </c>
      <c r="AF40" s="81">
        <f t="shared" si="27"/>
        <v>0</v>
      </c>
      <c r="AG40" s="81">
        <f t="shared" si="28"/>
        <v>0</v>
      </c>
      <c r="AH40" s="81">
        <f t="shared" si="29"/>
        <v>0</v>
      </c>
      <c r="AI40" s="81">
        <f t="shared" si="30"/>
        <v>0</v>
      </c>
      <c r="AJ40" s="81">
        <f t="shared" si="31"/>
        <v>0</v>
      </c>
      <c r="AK40" s="81">
        <f t="shared" si="32"/>
        <v>0</v>
      </c>
    </row>
    <row r="41" spans="1:37">
      <c r="A41" s="421">
        <v>39</v>
      </c>
      <c r="B41" s="548" t="s">
        <v>720</v>
      </c>
      <c r="C41" s="421">
        <v>7</v>
      </c>
      <c r="D41" s="419">
        <f>SUMIFS('boc xe'!U$2:U$27,'boc xe'!$B$2:$B$27,'chia CN boc xe'!$C41)</f>
        <v>9</v>
      </c>
      <c r="E41" s="419">
        <f>SUMIFS('boc xe'!V$2:V$27,'boc xe'!$B$2:$B$27,'chia CN boc xe'!$C41)</f>
        <v>8.8571428571428577</v>
      </c>
      <c r="F41" s="419">
        <f>SUMIFS('boc xe'!W$2:W$27,'boc xe'!$B$2:$B$27,'chia CN boc xe'!$C41)</f>
        <v>4.5714285714285712</v>
      </c>
      <c r="G41" s="419">
        <f>SUMIFS('boc xe'!X$2:X$27,'boc xe'!$B$2:$B$27,'chia CN boc xe'!$C41)</f>
        <v>26.428571428571427</v>
      </c>
      <c r="H41" s="419">
        <f>SUMIFS('boc xe'!Y$2:Y$27,'boc xe'!$B$2:$B$27,'chia CN boc xe'!$C41)</f>
        <v>0</v>
      </c>
      <c r="I41" s="419">
        <f>SUMIFS('boc xe'!Z$2:Z$27,'boc xe'!$B$2:$B$27,'chia CN boc xe'!$C41)</f>
        <v>10.285714285714286</v>
      </c>
      <c r="J41" s="419">
        <f>SUMIFS('boc xe'!AA$2:AA$27,'boc xe'!$B$2:$B$27,'chia CN boc xe'!$C41)</f>
        <v>0</v>
      </c>
      <c r="K41" s="419">
        <f>SUMIFS('boc xe'!AB$2:AB$27,'boc xe'!$B$2:$B$27,'chia CN boc xe'!$C41)</f>
        <v>11.428571428571429</v>
      </c>
      <c r="L41" s="419">
        <f>SUMIFS('boc xe'!AC$2:AC$27,'boc xe'!$B$2:$B$27,'chia CN boc xe'!$C41)</f>
        <v>15</v>
      </c>
      <c r="M41" s="419">
        <f>SUMIFS('boc xe'!AD$2:AD$27,'boc xe'!$B$2:$B$27,'chia CN boc xe'!$C41)</f>
        <v>0</v>
      </c>
      <c r="N41" s="419">
        <f>SUMIFS('boc xe'!AE$2:AE$27,'boc xe'!$B$2:$B$27,'chia CN boc xe'!$C41)</f>
        <v>0</v>
      </c>
      <c r="O41" s="419">
        <f>SUMIFS('boc xe'!AF$2:AF$27,'boc xe'!$B$2:$B$27,'chia CN boc xe'!$C41)</f>
        <v>0</v>
      </c>
      <c r="P41" s="419">
        <f>SUMIFS('boc xe'!AG$2:AG$27,'boc xe'!$B$2:$B$27,'chia CN boc xe'!$C41)</f>
        <v>0</v>
      </c>
      <c r="Q41" s="419">
        <f>SUMIFS('boc xe'!AH$2:AH$27,'boc xe'!$B$2:$B$27,'chia CN boc xe'!$C41)</f>
        <v>0</v>
      </c>
      <c r="R41" s="419">
        <f>SUMIFS('boc xe'!AI$2:AI$27,'boc xe'!$B$2:$B$27,'chia CN boc xe'!$C41)</f>
        <v>0</v>
      </c>
      <c r="S41" s="419">
        <f>SUMIFS('boc xe'!AJ$2:AJ$27,'boc xe'!$B$2:$B$27,'chia CN boc xe'!$C41)</f>
        <v>0</v>
      </c>
      <c r="U41" s="545" t="e">
        <f>'BANG LUONG 1'!#REF!</f>
        <v>#REF!</v>
      </c>
      <c r="V41" s="81">
        <f t="shared" si="17"/>
        <v>0</v>
      </c>
      <c r="W41" s="81">
        <f t="shared" si="18"/>
        <v>0</v>
      </c>
      <c r="X41" s="81">
        <f t="shared" si="19"/>
        <v>0</v>
      </c>
      <c r="Y41" s="81">
        <f t="shared" si="20"/>
        <v>0</v>
      </c>
      <c r="Z41" s="81">
        <f t="shared" si="21"/>
        <v>0</v>
      </c>
      <c r="AA41" s="81">
        <f t="shared" si="22"/>
        <v>0</v>
      </c>
      <c r="AB41" s="81">
        <f t="shared" si="23"/>
        <v>0</v>
      </c>
      <c r="AC41" s="81">
        <f t="shared" si="24"/>
        <v>0</v>
      </c>
      <c r="AD41" s="81">
        <f t="shared" si="25"/>
        <v>0</v>
      </c>
      <c r="AE41" s="81">
        <f t="shared" si="26"/>
        <v>0</v>
      </c>
      <c r="AF41" s="81">
        <f t="shared" si="27"/>
        <v>0</v>
      </c>
      <c r="AG41" s="81">
        <f t="shared" si="28"/>
        <v>0</v>
      </c>
      <c r="AH41" s="81">
        <f t="shared" si="29"/>
        <v>0</v>
      </c>
      <c r="AI41" s="81">
        <f t="shared" si="30"/>
        <v>0</v>
      </c>
      <c r="AJ41" s="81">
        <f t="shared" si="31"/>
        <v>0</v>
      </c>
      <c r="AK41" s="81">
        <f t="shared" si="32"/>
        <v>0</v>
      </c>
    </row>
    <row r="42" spans="1:37">
      <c r="A42" s="421">
        <v>40</v>
      </c>
      <c r="B42" s="545" t="s">
        <v>716</v>
      </c>
      <c r="C42" s="421">
        <v>7</v>
      </c>
      <c r="D42" s="419">
        <f>SUMIFS('boc xe'!U$2:U$27,'boc xe'!$B$2:$B$27,'chia CN boc xe'!$C42)</f>
        <v>9</v>
      </c>
      <c r="E42" s="419">
        <f>SUMIFS('boc xe'!V$2:V$27,'boc xe'!$B$2:$B$27,'chia CN boc xe'!$C42)</f>
        <v>8.8571428571428577</v>
      </c>
      <c r="F42" s="419">
        <f>SUMIFS('boc xe'!W$2:W$27,'boc xe'!$B$2:$B$27,'chia CN boc xe'!$C42)</f>
        <v>4.5714285714285712</v>
      </c>
      <c r="G42" s="419">
        <f>SUMIFS('boc xe'!X$2:X$27,'boc xe'!$B$2:$B$27,'chia CN boc xe'!$C42)</f>
        <v>26.428571428571427</v>
      </c>
      <c r="H42" s="419">
        <f>SUMIFS('boc xe'!Y$2:Y$27,'boc xe'!$B$2:$B$27,'chia CN boc xe'!$C42)</f>
        <v>0</v>
      </c>
      <c r="I42" s="419">
        <f>SUMIFS('boc xe'!Z$2:Z$27,'boc xe'!$B$2:$B$27,'chia CN boc xe'!$C42)</f>
        <v>10.285714285714286</v>
      </c>
      <c r="J42" s="419">
        <f>SUMIFS('boc xe'!AA$2:AA$27,'boc xe'!$B$2:$B$27,'chia CN boc xe'!$C42)</f>
        <v>0</v>
      </c>
      <c r="K42" s="419">
        <f>SUMIFS('boc xe'!AB$2:AB$27,'boc xe'!$B$2:$B$27,'chia CN boc xe'!$C42)</f>
        <v>11.428571428571429</v>
      </c>
      <c r="L42" s="419">
        <f>SUMIFS('boc xe'!AC$2:AC$27,'boc xe'!$B$2:$B$27,'chia CN boc xe'!$C42)</f>
        <v>15</v>
      </c>
      <c r="M42" s="419">
        <f>SUMIFS('boc xe'!AD$2:AD$27,'boc xe'!$B$2:$B$27,'chia CN boc xe'!$C42)</f>
        <v>0</v>
      </c>
      <c r="N42" s="419">
        <f>SUMIFS('boc xe'!AE$2:AE$27,'boc xe'!$B$2:$B$27,'chia CN boc xe'!$C42)</f>
        <v>0</v>
      </c>
      <c r="O42" s="419">
        <f>SUMIFS('boc xe'!AF$2:AF$27,'boc xe'!$B$2:$B$27,'chia CN boc xe'!$C42)</f>
        <v>0</v>
      </c>
      <c r="P42" s="419">
        <f>SUMIFS('boc xe'!AG$2:AG$27,'boc xe'!$B$2:$B$27,'chia CN boc xe'!$C42)</f>
        <v>0</v>
      </c>
      <c r="Q42" s="419">
        <f>SUMIFS('boc xe'!AH$2:AH$27,'boc xe'!$B$2:$B$27,'chia CN boc xe'!$C42)</f>
        <v>0</v>
      </c>
      <c r="R42" s="419">
        <f>SUMIFS('boc xe'!AI$2:AI$27,'boc xe'!$B$2:$B$27,'chia CN boc xe'!$C42)</f>
        <v>0</v>
      </c>
      <c r="S42" s="419">
        <f>SUMIFS('boc xe'!AJ$2:AJ$27,'boc xe'!$B$2:$B$27,'chia CN boc xe'!$C42)</f>
        <v>0</v>
      </c>
      <c r="U42" s="546" t="e">
        <f>'BANG LUONG 1'!#REF!</f>
        <v>#REF!</v>
      </c>
      <c r="V42" s="81">
        <f t="shared" si="17"/>
        <v>0</v>
      </c>
      <c r="W42" s="81">
        <f t="shared" si="18"/>
        <v>0</v>
      </c>
      <c r="X42" s="81">
        <f t="shared" si="19"/>
        <v>0</v>
      </c>
      <c r="Y42" s="81">
        <f t="shared" si="20"/>
        <v>0</v>
      </c>
      <c r="Z42" s="81">
        <f t="shared" si="21"/>
        <v>0</v>
      </c>
      <c r="AA42" s="81">
        <f t="shared" si="22"/>
        <v>0</v>
      </c>
      <c r="AB42" s="81">
        <f t="shared" si="23"/>
        <v>0</v>
      </c>
      <c r="AC42" s="81">
        <f t="shared" si="24"/>
        <v>0</v>
      </c>
      <c r="AD42" s="81">
        <f t="shared" si="25"/>
        <v>0</v>
      </c>
      <c r="AE42" s="81">
        <f t="shared" si="26"/>
        <v>0</v>
      </c>
      <c r="AF42" s="81">
        <f t="shared" si="27"/>
        <v>0</v>
      </c>
      <c r="AG42" s="81">
        <f t="shared" si="28"/>
        <v>0</v>
      </c>
      <c r="AH42" s="81">
        <f t="shared" si="29"/>
        <v>0</v>
      </c>
      <c r="AI42" s="81">
        <f t="shared" si="30"/>
        <v>0</v>
      </c>
      <c r="AJ42" s="81">
        <f t="shared" si="31"/>
        <v>0</v>
      </c>
      <c r="AK42" s="81">
        <f t="shared" si="32"/>
        <v>0</v>
      </c>
    </row>
    <row r="43" spans="1:37">
      <c r="A43" s="421">
        <v>41</v>
      </c>
      <c r="B43" s="545" t="s">
        <v>717</v>
      </c>
      <c r="C43" s="421">
        <v>7</v>
      </c>
      <c r="D43" s="419">
        <f>SUMIFS('boc xe'!U$2:U$27,'boc xe'!$B$2:$B$27,'chia CN boc xe'!$C43)</f>
        <v>9</v>
      </c>
      <c r="E43" s="419">
        <f>SUMIFS('boc xe'!V$2:V$27,'boc xe'!$B$2:$B$27,'chia CN boc xe'!$C43)</f>
        <v>8.8571428571428577</v>
      </c>
      <c r="F43" s="419">
        <f>SUMIFS('boc xe'!W$2:W$27,'boc xe'!$B$2:$B$27,'chia CN boc xe'!$C43)</f>
        <v>4.5714285714285712</v>
      </c>
      <c r="G43" s="419">
        <f>SUMIFS('boc xe'!X$2:X$27,'boc xe'!$B$2:$B$27,'chia CN boc xe'!$C43)</f>
        <v>26.428571428571427</v>
      </c>
      <c r="H43" s="419">
        <f>SUMIFS('boc xe'!Y$2:Y$27,'boc xe'!$B$2:$B$27,'chia CN boc xe'!$C43)</f>
        <v>0</v>
      </c>
      <c r="I43" s="419">
        <f>SUMIFS('boc xe'!Z$2:Z$27,'boc xe'!$B$2:$B$27,'chia CN boc xe'!$C43)</f>
        <v>10.285714285714286</v>
      </c>
      <c r="J43" s="419">
        <f>SUMIFS('boc xe'!AA$2:AA$27,'boc xe'!$B$2:$B$27,'chia CN boc xe'!$C43)</f>
        <v>0</v>
      </c>
      <c r="K43" s="419">
        <f>SUMIFS('boc xe'!AB$2:AB$27,'boc xe'!$B$2:$B$27,'chia CN boc xe'!$C43)</f>
        <v>11.428571428571429</v>
      </c>
      <c r="L43" s="419">
        <f>SUMIFS('boc xe'!AC$2:AC$27,'boc xe'!$B$2:$B$27,'chia CN boc xe'!$C43)</f>
        <v>15</v>
      </c>
      <c r="M43" s="419">
        <f>SUMIFS('boc xe'!AD$2:AD$27,'boc xe'!$B$2:$B$27,'chia CN boc xe'!$C43)</f>
        <v>0</v>
      </c>
      <c r="N43" s="419">
        <f>SUMIFS('boc xe'!AE$2:AE$27,'boc xe'!$B$2:$B$27,'chia CN boc xe'!$C43)</f>
        <v>0</v>
      </c>
      <c r="O43" s="419">
        <f>SUMIFS('boc xe'!AF$2:AF$27,'boc xe'!$B$2:$B$27,'chia CN boc xe'!$C43)</f>
        <v>0</v>
      </c>
      <c r="P43" s="419">
        <f>SUMIFS('boc xe'!AG$2:AG$27,'boc xe'!$B$2:$B$27,'chia CN boc xe'!$C43)</f>
        <v>0</v>
      </c>
      <c r="Q43" s="419">
        <f>SUMIFS('boc xe'!AH$2:AH$27,'boc xe'!$B$2:$B$27,'chia CN boc xe'!$C43)</f>
        <v>0</v>
      </c>
      <c r="R43" s="419">
        <f>SUMIFS('boc xe'!AI$2:AI$27,'boc xe'!$B$2:$B$27,'chia CN boc xe'!$C43)</f>
        <v>0</v>
      </c>
      <c r="S43" s="419">
        <f>SUMIFS('boc xe'!AJ$2:AJ$27,'boc xe'!$B$2:$B$27,'chia CN boc xe'!$C43)</f>
        <v>0</v>
      </c>
      <c r="U43" s="546" t="e">
        <f>'BANG LUONG 1'!#REF!</f>
        <v>#REF!</v>
      </c>
      <c r="V43" s="81">
        <f t="shared" si="17"/>
        <v>0</v>
      </c>
      <c r="W43" s="81">
        <f t="shared" si="18"/>
        <v>0</v>
      </c>
      <c r="X43" s="81">
        <f t="shared" si="19"/>
        <v>0</v>
      </c>
      <c r="Y43" s="81">
        <f t="shared" si="20"/>
        <v>0</v>
      </c>
      <c r="Z43" s="81">
        <f t="shared" si="21"/>
        <v>0</v>
      </c>
      <c r="AA43" s="81">
        <f t="shared" si="22"/>
        <v>0</v>
      </c>
      <c r="AB43" s="81">
        <f t="shared" si="23"/>
        <v>0</v>
      </c>
      <c r="AC43" s="81">
        <f t="shared" si="24"/>
        <v>0</v>
      </c>
      <c r="AD43" s="81">
        <f t="shared" si="25"/>
        <v>0</v>
      </c>
      <c r="AE43" s="81">
        <f t="shared" si="26"/>
        <v>0</v>
      </c>
      <c r="AF43" s="81">
        <f t="shared" si="27"/>
        <v>0</v>
      </c>
      <c r="AG43" s="81">
        <f t="shared" si="28"/>
        <v>0</v>
      </c>
      <c r="AH43" s="81">
        <f t="shared" si="29"/>
        <v>0</v>
      </c>
      <c r="AI43" s="81">
        <f t="shared" si="30"/>
        <v>0</v>
      </c>
      <c r="AJ43" s="81">
        <f t="shared" si="31"/>
        <v>0</v>
      </c>
      <c r="AK43" s="81">
        <f t="shared" si="32"/>
        <v>0</v>
      </c>
    </row>
    <row r="44" spans="1:37">
      <c r="A44" s="421">
        <v>42</v>
      </c>
      <c r="B44" s="545" t="s">
        <v>754</v>
      </c>
      <c r="C44" s="421">
        <v>7</v>
      </c>
      <c r="D44" s="419">
        <f>SUMIFS('boc xe'!U$2:U$27,'boc xe'!$B$2:$B$27,'chia CN boc xe'!$C44)</f>
        <v>9</v>
      </c>
      <c r="E44" s="419">
        <f>SUMIFS('boc xe'!V$2:V$27,'boc xe'!$B$2:$B$27,'chia CN boc xe'!$C44)</f>
        <v>8.8571428571428577</v>
      </c>
      <c r="F44" s="419">
        <f>SUMIFS('boc xe'!W$2:W$27,'boc xe'!$B$2:$B$27,'chia CN boc xe'!$C44)</f>
        <v>4.5714285714285712</v>
      </c>
      <c r="G44" s="419">
        <f>SUMIFS('boc xe'!X$2:X$27,'boc xe'!$B$2:$B$27,'chia CN boc xe'!$C44)</f>
        <v>26.428571428571427</v>
      </c>
      <c r="H44" s="419">
        <f>SUMIFS('boc xe'!Y$2:Y$27,'boc xe'!$B$2:$B$27,'chia CN boc xe'!$C44)</f>
        <v>0</v>
      </c>
      <c r="I44" s="419">
        <f>SUMIFS('boc xe'!Z$2:Z$27,'boc xe'!$B$2:$B$27,'chia CN boc xe'!$C44)</f>
        <v>10.285714285714286</v>
      </c>
      <c r="J44" s="419">
        <f>SUMIFS('boc xe'!AA$2:AA$27,'boc xe'!$B$2:$B$27,'chia CN boc xe'!$C44)</f>
        <v>0</v>
      </c>
      <c r="K44" s="419">
        <f>SUMIFS('boc xe'!AB$2:AB$27,'boc xe'!$B$2:$B$27,'chia CN boc xe'!$C44)</f>
        <v>11.428571428571429</v>
      </c>
      <c r="L44" s="419">
        <f>SUMIFS('boc xe'!AC$2:AC$27,'boc xe'!$B$2:$B$27,'chia CN boc xe'!$C44)</f>
        <v>15</v>
      </c>
      <c r="M44" s="419">
        <f>SUMIFS('boc xe'!AD$2:AD$27,'boc xe'!$B$2:$B$27,'chia CN boc xe'!$C44)</f>
        <v>0</v>
      </c>
      <c r="N44" s="419">
        <f>SUMIFS('boc xe'!AE$2:AE$27,'boc xe'!$B$2:$B$27,'chia CN boc xe'!$C44)</f>
        <v>0</v>
      </c>
      <c r="O44" s="419">
        <f>SUMIFS('boc xe'!AF$2:AF$27,'boc xe'!$B$2:$B$27,'chia CN boc xe'!$C44)</f>
        <v>0</v>
      </c>
      <c r="P44" s="419">
        <f>SUMIFS('boc xe'!AG$2:AG$27,'boc xe'!$B$2:$B$27,'chia CN boc xe'!$C44)</f>
        <v>0</v>
      </c>
      <c r="Q44" s="419">
        <f>SUMIFS('boc xe'!AH$2:AH$27,'boc xe'!$B$2:$B$27,'chia CN boc xe'!$C44)</f>
        <v>0</v>
      </c>
      <c r="R44" s="419">
        <f>SUMIFS('boc xe'!AI$2:AI$27,'boc xe'!$B$2:$B$27,'chia CN boc xe'!$C44)</f>
        <v>0</v>
      </c>
      <c r="S44" s="419">
        <f>SUMIFS('boc xe'!AJ$2:AJ$27,'boc xe'!$B$2:$B$27,'chia CN boc xe'!$C44)</f>
        <v>0</v>
      </c>
      <c r="U44" s="254" t="e">
        <f>'BANG LUONG 1'!#REF!</f>
        <v>#REF!</v>
      </c>
      <c r="V44" s="81">
        <f t="shared" si="17"/>
        <v>0</v>
      </c>
      <c r="W44" s="81">
        <f t="shared" si="18"/>
        <v>0</v>
      </c>
      <c r="X44" s="81">
        <f t="shared" si="19"/>
        <v>0</v>
      </c>
      <c r="Y44" s="81">
        <f t="shared" si="20"/>
        <v>0</v>
      </c>
      <c r="Z44" s="81">
        <f t="shared" si="21"/>
        <v>0</v>
      </c>
      <c r="AA44" s="81">
        <f t="shared" si="22"/>
        <v>0</v>
      </c>
      <c r="AB44" s="81">
        <f t="shared" si="23"/>
        <v>0</v>
      </c>
      <c r="AC44" s="81">
        <f t="shared" si="24"/>
        <v>0</v>
      </c>
      <c r="AD44" s="81">
        <f t="shared" si="25"/>
        <v>0</v>
      </c>
      <c r="AE44" s="81">
        <f t="shared" si="26"/>
        <v>0</v>
      </c>
      <c r="AF44" s="81">
        <f t="shared" si="27"/>
        <v>0</v>
      </c>
      <c r="AG44" s="81">
        <f t="shared" si="28"/>
        <v>0</v>
      </c>
      <c r="AH44" s="81">
        <f t="shared" si="29"/>
        <v>0</v>
      </c>
      <c r="AI44" s="81">
        <f t="shared" si="30"/>
        <v>0</v>
      </c>
      <c r="AJ44" s="81">
        <f t="shared" si="31"/>
        <v>0</v>
      </c>
      <c r="AK44" s="81">
        <f t="shared" si="32"/>
        <v>0</v>
      </c>
    </row>
    <row r="45" spans="1:37">
      <c r="A45" s="421">
        <v>43</v>
      </c>
      <c r="B45" s="545" t="s">
        <v>601</v>
      </c>
      <c r="C45" s="421">
        <v>8</v>
      </c>
      <c r="D45" s="419">
        <f>SUMIFS('boc xe'!U$2:U$27,'boc xe'!$B$2:$B$27,'chia CN boc xe'!$C45)</f>
        <v>0</v>
      </c>
      <c r="E45" s="419">
        <f>SUMIFS('boc xe'!V$2:V$27,'boc xe'!$B$2:$B$27,'chia CN boc xe'!$C45)</f>
        <v>0</v>
      </c>
      <c r="F45" s="419">
        <f>SUMIFS('boc xe'!W$2:W$27,'boc xe'!$B$2:$B$27,'chia CN boc xe'!$C45)</f>
        <v>0</v>
      </c>
      <c r="G45" s="419">
        <f>SUMIFS('boc xe'!X$2:X$27,'boc xe'!$B$2:$B$27,'chia CN boc xe'!$C45)</f>
        <v>0</v>
      </c>
      <c r="H45" s="419">
        <f>SUMIFS('boc xe'!Y$2:Y$27,'boc xe'!$B$2:$B$27,'chia CN boc xe'!$C45)</f>
        <v>0</v>
      </c>
      <c r="I45" s="419">
        <f>SUMIFS('boc xe'!Z$2:Z$27,'boc xe'!$B$2:$B$27,'chia CN boc xe'!$C45)</f>
        <v>30</v>
      </c>
      <c r="J45" s="419">
        <f>SUMIFS('boc xe'!AA$2:AA$27,'boc xe'!$B$2:$B$27,'chia CN boc xe'!$C45)</f>
        <v>0</v>
      </c>
      <c r="K45" s="419">
        <f>SUMIFS('boc xe'!AB$2:AB$27,'boc xe'!$B$2:$B$27,'chia CN boc xe'!$C45)</f>
        <v>0</v>
      </c>
      <c r="L45" s="419">
        <f>SUMIFS('boc xe'!AC$2:AC$27,'boc xe'!$B$2:$B$27,'chia CN boc xe'!$C45)</f>
        <v>0</v>
      </c>
      <c r="M45" s="419">
        <f>SUMIFS('boc xe'!AD$2:AD$27,'boc xe'!$B$2:$B$27,'chia CN boc xe'!$C45)</f>
        <v>0</v>
      </c>
      <c r="N45" s="419">
        <f>SUMIFS('boc xe'!AE$2:AE$27,'boc xe'!$B$2:$B$27,'chia CN boc xe'!$C45)</f>
        <v>0</v>
      </c>
      <c r="O45" s="419">
        <f>SUMIFS('boc xe'!AF$2:AF$27,'boc xe'!$B$2:$B$27,'chia CN boc xe'!$C45)</f>
        <v>0</v>
      </c>
      <c r="P45" s="419">
        <f>SUMIFS('boc xe'!AG$2:AG$27,'boc xe'!$B$2:$B$27,'chia CN boc xe'!$C45)</f>
        <v>0</v>
      </c>
      <c r="Q45" s="419">
        <f>SUMIFS('boc xe'!AH$2:AH$27,'boc xe'!$B$2:$B$27,'chia CN boc xe'!$C45)</f>
        <v>0</v>
      </c>
      <c r="R45" s="419">
        <f>SUMIFS('boc xe'!AI$2:AI$27,'boc xe'!$B$2:$B$27,'chia CN boc xe'!$C45)</f>
        <v>0</v>
      </c>
      <c r="S45" s="419">
        <f>SUMIFS('boc xe'!AJ$2:AJ$27,'boc xe'!$B$2:$B$27,'chia CN boc xe'!$C45)</f>
        <v>0</v>
      </c>
      <c r="U45" s="546" t="e">
        <f>'BANG LUONG 1'!#REF!</f>
        <v>#REF!</v>
      </c>
      <c r="V45" s="81">
        <f t="shared" si="17"/>
        <v>0</v>
      </c>
      <c r="W45" s="81">
        <f t="shared" si="18"/>
        <v>0</v>
      </c>
      <c r="X45" s="81">
        <f t="shared" si="19"/>
        <v>0</v>
      </c>
      <c r="Y45" s="81">
        <f t="shared" si="20"/>
        <v>0</v>
      </c>
      <c r="Z45" s="81">
        <f t="shared" si="21"/>
        <v>0</v>
      </c>
      <c r="AA45" s="81">
        <f t="shared" si="22"/>
        <v>0</v>
      </c>
      <c r="AB45" s="81">
        <f t="shared" si="23"/>
        <v>0</v>
      </c>
      <c r="AC45" s="81">
        <f t="shared" si="24"/>
        <v>0</v>
      </c>
      <c r="AD45" s="81">
        <f t="shared" si="25"/>
        <v>0</v>
      </c>
      <c r="AE45" s="81">
        <f t="shared" si="26"/>
        <v>0</v>
      </c>
      <c r="AF45" s="81">
        <f t="shared" si="27"/>
        <v>0</v>
      </c>
      <c r="AG45" s="81">
        <f t="shared" si="28"/>
        <v>0</v>
      </c>
      <c r="AH45" s="81">
        <f t="shared" si="29"/>
        <v>0</v>
      </c>
      <c r="AI45" s="81">
        <f t="shared" si="30"/>
        <v>0</v>
      </c>
      <c r="AJ45" s="81">
        <f t="shared" si="31"/>
        <v>0</v>
      </c>
      <c r="AK45" s="81">
        <f t="shared" si="32"/>
        <v>0</v>
      </c>
    </row>
    <row r="46" spans="1:37">
      <c r="A46" s="421">
        <v>44</v>
      </c>
      <c r="B46" s="545" t="s">
        <v>622</v>
      </c>
      <c r="C46" s="421">
        <v>8</v>
      </c>
      <c r="D46" s="419">
        <f>SUMIFS('boc xe'!U$2:U$27,'boc xe'!$B$2:$B$27,'chia CN boc xe'!$C46)</f>
        <v>0</v>
      </c>
      <c r="E46" s="419">
        <f>SUMIFS('boc xe'!V$2:V$27,'boc xe'!$B$2:$B$27,'chia CN boc xe'!$C46)</f>
        <v>0</v>
      </c>
      <c r="F46" s="419">
        <f>SUMIFS('boc xe'!W$2:W$27,'boc xe'!$B$2:$B$27,'chia CN boc xe'!$C46)</f>
        <v>0</v>
      </c>
      <c r="G46" s="419">
        <f>SUMIFS('boc xe'!X$2:X$27,'boc xe'!$B$2:$B$27,'chia CN boc xe'!$C46)</f>
        <v>0</v>
      </c>
      <c r="H46" s="419">
        <f>SUMIFS('boc xe'!Y$2:Y$27,'boc xe'!$B$2:$B$27,'chia CN boc xe'!$C46)</f>
        <v>0</v>
      </c>
      <c r="I46" s="419">
        <f>SUMIFS('boc xe'!Z$2:Z$27,'boc xe'!$B$2:$B$27,'chia CN boc xe'!$C46)</f>
        <v>30</v>
      </c>
      <c r="J46" s="419">
        <f>SUMIFS('boc xe'!AA$2:AA$27,'boc xe'!$B$2:$B$27,'chia CN boc xe'!$C46)</f>
        <v>0</v>
      </c>
      <c r="K46" s="419">
        <f>SUMIFS('boc xe'!AB$2:AB$27,'boc xe'!$B$2:$B$27,'chia CN boc xe'!$C46)</f>
        <v>0</v>
      </c>
      <c r="L46" s="419">
        <f>SUMIFS('boc xe'!AC$2:AC$27,'boc xe'!$B$2:$B$27,'chia CN boc xe'!$C46)</f>
        <v>0</v>
      </c>
      <c r="M46" s="419">
        <f>SUMIFS('boc xe'!AD$2:AD$27,'boc xe'!$B$2:$B$27,'chia CN boc xe'!$C46)</f>
        <v>0</v>
      </c>
      <c r="N46" s="419">
        <f>SUMIFS('boc xe'!AE$2:AE$27,'boc xe'!$B$2:$B$27,'chia CN boc xe'!$C46)</f>
        <v>0</v>
      </c>
      <c r="O46" s="419">
        <f>SUMIFS('boc xe'!AF$2:AF$27,'boc xe'!$B$2:$B$27,'chia CN boc xe'!$C46)</f>
        <v>0</v>
      </c>
      <c r="P46" s="419">
        <f>SUMIFS('boc xe'!AG$2:AG$27,'boc xe'!$B$2:$B$27,'chia CN boc xe'!$C46)</f>
        <v>0</v>
      </c>
      <c r="Q46" s="419">
        <f>SUMIFS('boc xe'!AH$2:AH$27,'boc xe'!$B$2:$B$27,'chia CN boc xe'!$C46)</f>
        <v>0</v>
      </c>
      <c r="R46" s="419">
        <f>SUMIFS('boc xe'!AI$2:AI$27,'boc xe'!$B$2:$B$27,'chia CN boc xe'!$C46)</f>
        <v>0</v>
      </c>
      <c r="S46" s="419">
        <f>SUMIFS('boc xe'!AJ$2:AJ$27,'boc xe'!$B$2:$B$27,'chia CN boc xe'!$C46)</f>
        <v>0</v>
      </c>
      <c r="U46" s="546" t="e">
        <f>'BANG LUONG 1'!#REF!</f>
        <v>#REF!</v>
      </c>
      <c r="V46" s="81">
        <f t="shared" si="17"/>
        <v>0</v>
      </c>
      <c r="W46" s="81">
        <f t="shared" si="18"/>
        <v>0</v>
      </c>
      <c r="X46" s="81">
        <f t="shared" si="19"/>
        <v>0</v>
      </c>
      <c r="Y46" s="81">
        <f t="shared" si="20"/>
        <v>0</v>
      </c>
      <c r="Z46" s="81">
        <f t="shared" si="21"/>
        <v>0</v>
      </c>
      <c r="AA46" s="81">
        <f t="shared" si="22"/>
        <v>0</v>
      </c>
      <c r="AB46" s="81">
        <f t="shared" si="23"/>
        <v>0</v>
      </c>
      <c r="AC46" s="81">
        <f t="shared" si="24"/>
        <v>0</v>
      </c>
      <c r="AD46" s="81">
        <f t="shared" si="25"/>
        <v>0</v>
      </c>
      <c r="AE46" s="81">
        <f t="shared" si="26"/>
        <v>0</v>
      </c>
      <c r="AF46" s="81">
        <f t="shared" si="27"/>
        <v>0</v>
      </c>
      <c r="AG46" s="81">
        <f t="shared" si="28"/>
        <v>0</v>
      </c>
      <c r="AH46" s="81">
        <f t="shared" si="29"/>
        <v>0</v>
      </c>
      <c r="AI46" s="81">
        <f t="shared" si="30"/>
        <v>0</v>
      </c>
      <c r="AJ46" s="81">
        <f t="shared" si="31"/>
        <v>0</v>
      </c>
      <c r="AK46" s="81">
        <f t="shared" si="32"/>
        <v>0</v>
      </c>
    </row>
    <row r="47" spans="1:37">
      <c r="A47" s="421">
        <v>45</v>
      </c>
      <c r="B47" s="545" t="s">
        <v>625</v>
      </c>
      <c r="C47" s="421">
        <v>8</v>
      </c>
      <c r="D47" s="419">
        <f>SUMIFS('boc xe'!U$2:U$27,'boc xe'!$B$2:$B$27,'chia CN boc xe'!$C47)</f>
        <v>0</v>
      </c>
      <c r="E47" s="419">
        <f>SUMIFS('boc xe'!V$2:V$27,'boc xe'!$B$2:$B$27,'chia CN boc xe'!$C47)</f>
        <v>0</v>
      </c>
      <c r="F47" s="419">
        <f>SUMIFS('boc xe'!W$2:W$27,'boc xe'!$B$2:$B$27,'chia CN boc xe'!$C47)</f>
        <v>0</v>
      </c>
      <c r="G47" s="419">
        <f>SUMIFS('boc xe'!X$2:X$27,'boc xe'!$B$2:$B$27,'chia CN boc xe'!$C47)</f>
        <v>0</v>
      </c>
      <c r="H47" s="419">
        <f>SUMIFS('boc xe'!Y$2:Y$27,'boc xe'!$B$2:$B$27,'chia CN boc xe'!$C47)</f>
        <v>0</v>
      </c>
      <c r="I47" s="419">
        <f>SUMIFS('boc xe'!Z$2:Z$27,'boc xe'!$B$2:$B$27,'chia CN boc xe'!$C47)</f>
        <v>30</v>
      </c>
      <c r="J47" s="419">
        <f>SUMIFS('boc xe'!AA$2:AA$27,'boc xe'!$B$2:$B$27,'chia CN boc xe'!$C47)</f>
        <v>0</v>
      </c>
      <c r="K47" s="419">
        <f>SUMIFS('boc xe'!AB$2:AB$27,'boc xe'!$B$2:$B$27,'chia CN boc xe'!$C47)</f>
        <v>0</v>
      </c>
      <c r="L47" s="419">
        <f>SUMIFS('boc xe'!AC$2:AC$27,'boc xe'!$B$2:$B$27,'chia CN boc xe'!$C47)</f>
        <v>0</v>
      </c>
      <c r="M47" s="419">
        <f>SUMIFS('boc xe'!AD$2:AD$27,'boc xe'!$B$2:$B$27,'chia CN boc xe'!$C47)</f>
        <v>0</v>
      </c>
      <c r="N47" s="419">
        <f>SUMIFS('boc xe'!AE$2:AE$27,'boc xe'!$B$2:$B$27,'chia CN boc xe'!$C47)</f>
        <v>0</v>
      </c>
      <c r="O47" s="419">
        <f>SUMIFS('boc xe'!AF$2:AF$27,'boc xe'!$B$2:$B$27,'chia CN boc xe'!$C47)</f>
        <v>0</v>
      </c>
      <c r="P47" s="419">
        <f>SUMIFS('boc xe'!AG$2:AG$27,'boc xe'!$B$2:$B$27,'chia CN boc xe'!$C47)</f>
        <v>0</v>
      </c>
      <c r="Q47" s="419">
        <f>SUMIFS('boc xe'!AH$2:AH$27,'boc xe'!$B$2:$B$27,'chia CN boc xe'!$C47)</f>
        <v>0</v>
      </c>
      <c r="R47" s="419">
        <f>SUMIFS('boc xe'!AI$2:AI$27,'boc xe'!$B$2:$B$27,'chia CN boc xe'!$C47)</f>
        <v>0</v>
      </c>
      <c r="S47" s="419">
        <f>SUMIFS('boc xe'!AJ$2:AJ$27,'boc xe'!$B$2:$B$27,'chia CN boc xe'!$C47)</f>
        <v>0</v>
      </c>
      <c r="U47" s="545" t="e">
        <f>'BANG LUONG 1'!#REF!</f>
        <v>#REF!</v>
      </c>
      <c r="V47" s="81">
        <f t="shared" si="17"/>
        <v>0</v>
      </c>
      <c r="W47" s="81">
        <f t="shared" si="18"/>
        <v>0</v>
      </c>
      <c r="X47" s="81">
        <f t="shared" si="19"/>
        <v>0</v>
      </c>
      <c r="Y47" s="81">
        <f t="shared" si="20"/>
        <v>0</v>
      </c>
      <c r="Z47" s="81">
        <f t="shared" si="21"/>
        <v>0</v>
      </c>
      <c r="AA47" s="81">
        <f t="shared" si="22"/>
        <v>0</v>
      </c>
      <c r="AB47" s="81">
        <f t="shared" si="23"/>
        <v>0</v>
      </c>
      <c r="AC47" s="81">
        <f t="shared" si="24"/>
        <v>0</v>
      </c>
      <c r="AD47" s="81">
        <f t="shared" si="25"/>
        <v>0</v>
      </c>
      <c r="AE47" s="81">
        <f t="shared" si="26"/>
        <v>0</v>
      </c>
      <c r="AF47" s="81">
        <f t="shared" si="27"/>
        <v>0</v>
      </c>
      <c r="AG47" s="81">
        <f t="shared" si="28"/>
        <v>0</v>
      </c>
      <c r="AH47" s="81">
        <f t="shared" si="29"/>
        <v>0</v>
      </c>
      <c r="AI47" s="81">
        <f t="shared" si="30"/>
        <v>0</v>
      </c>
      <c r="AJ47" s="81">
        <f t="shared" si="31"/>
        <v>0</v>
      </c>
      <c r="AK47" s="81">
        <f t="shared" si="32"/>
        <v>0</v>
      </c>
    </row>
    <row r="48" spans="1:37">
      <c r="A48" s="421">
        <v>46</v>
      </c>
      <c r="B48" s="546" t="s">
        <v>701</v>
      </c>
      <c r="C48" s="421">
        <v>8</v>
      </c>
      <c r="D48" s="419">
        <f>SUMIFS('boc xe'!U$2:U$27,'boc xe'!$B$2:$B$27,'chia CN boc xe'!$C48)</f>
        <v>0</v>
      </c>
      <c r="E48" s="419">
        <f>SUMIFS('boc xe'!V$2:V$27,'boc xe'!$B$2:$B$27,'chia CN boc xe'!$C48)</f>
        <v>0</v>
      </c>
      <c r="F48" s="419">
        <f>SUMIFS('boc xe'!W$2:W$27,'boc xe'!$B$2:$B$27,'chia CN boc xe'!$C48)</f>
        <v>0</v>
      </c>
      <c r="G48" s="419">
        <f>SUMIFS('boc xe'!X$2:X$27,'boc xe'!$B$2:$B$27,'chia CN boc xe'!$C48)</f>
        <v>0</v>
      </c>
      <c r="H48" s="419">
        <f>SUMIFS('boc xe'!Y$2:Y$27,'boc xe'!$B$2:$B$27,'chia CN boc xe'!$C48)</f>
        <v>0</v>
      </c>
      <c r="I48" s="419">
        <f>SUMIFS('boc xe'!Z$2:Z$27,'boc xe'!$B$2:$B$27,'chia CN boc xe'!$C48)</f>
        <v>30</v>
      </c>
      <c r="J48" s="419">
        <f>SUMIFS('boc xe'!AA$2:AA$27,'boc xe'!$B$2:$B$27,'chia CN boc xe'!$C48)</f>
        <v>0</v>
      </c>
      <c r="K48" s="419">
        <f>SUMIFS('boc xe'!AB$2:AB$27,'boc xe'!$B$2:$B$27,'chia CN boc xe'!$C48)</f>
        <v>0</v>
      </c>
      <c r="L48" s="419">
        <f>SUMIFS('boc xe'!AC$2:AC$27,'boc xe'!$B$2:$B$27,'chia CN boc xe'!$C48)</f>
        <v>0</v>
      </c>
      <c r="M48" s="419">
        <f>SUMIFS('boc xe'!AD$2:AD$27,'boc xe'!$B$2:$B$27,'chia CN boc xe'!$C48)</f>
        <v>0</v>
      </c>
      <c r="N48" s="419">
        <f>SUMIFS('boc xe'!AE$2:AE$27,'boc xe'!$B$2:$B$27,'chia CN boc xe'!$C48)</f>
        <v>0</v>
      </c>
      <c r="O48" s="419">
        <f>SUMIFS('boc xe'!AF$2:AF$27,'boc xe'!$B$2:$B$27,'chia CN boc xe'!$C48)</f>
        <v>0</v>
      </c>
      <c r="P48" s="419">
        <f>SUMIFS('boc xe'!AG$2:AG$27,'boc xe'!$B$2:$B$27,'chia CN boc xe'!$C48)</f>
        <v>0</v>
      </c>
      <c r="Q48" s="419">
        <f>SUMIFS('boc xe'!AH$2:AH$27,'boc xe'!$B$2:$B$27,'chia CN boc xe'!$C48)</f>
        <v>0</v>
      </c>
      <c r="R48" s="419">
        <f>SUMIFS('boc xe'!AI$2:AI$27,'boc xe'!$B$2:$B$27,'chia CN boc xe'!$C48)</f>
        <v>0</v>
      </c>
      <c r="S48" s="419">
        <f>SUMIFS('boc xe'!AJ$2:AJ$27,'boc xe'!$B$2:$B$27,'chia CN boc xe'!$C48)</f>
        <v>0</v>
      </c>
      <c r="U48" s="545" t="e">
        <f>'BANG LUONG 1'!#REF!</f>
        <v>#REF!</v>
      </c>
      <c r="V48" s="81">
        <f t="shared" si="17"/>
        <v>0</v>
      </c>
      <c r="W48" s="81">
        <f t="shared" si="18"/>
        <v>0</v>
      </c>
      <c r="X48" s="81">
        <f t="shared" si="19"/>
        <v>0</v>
      </c>
      <c r="Y48" s="81">
        <f t="shared" si="20"/>
        <v>0</v>
      </c>
      <c r="Z48" s="81">
        <f t="shared" si="21"/>
        <v>0</v>
      </c>
      <c r="AA48" s="81">
        <f t="shared" si="22"/>
        <v>0</v>
      </c>
      <c r="AB48" s="81">
        <f t="shared" si="23"/>
        <v>0</v>
      </c>
      <c r="AC48" s="81">
        <f t="shared" si="24"/>
        <v>0</v>
      </c>
      <c r="AD48" s="81">
        <f t="shared" si="25"/>
        <v>0</v>
      </c>
      <c r="AE48" s="81">
        <f t="shared" si="26"/>
        <v>0</v>
      </c>
      <c r="AF48" s="81">
        <f t="shared" si="27"/>
        <v>0</v>
      </c>
      <c r="AG48" s="81">
        <f t="shared" si="28"/>
        <v>0</v>
      </c>
      <c r="AH48" s="81">
        <f t="shared" si="29"/>
        <v>0</v>
      </c>
      <c r="AI48" s="81">
        <f t="shared" si="30"/>
        <v>0</v>
      </c>
      <c r="AJ48" s="81">
        <f t="shared" si="31"/>
        <v>0</v>
      </c>
      <c r="AK48" s="81">
        <f t="shared" si="32"/>
        <v>0</v>
      </c>
    </row>
    <row r="49" spans="1:37">
      <c r="A49" s="421">
        <v>48</v>
      </c>
      <c r="B49" s="546" t="s">
        <v>718</v>
      </c>
      <c r="C49" s="421">
        <v>8</v>
      </c>
      <c r="D49" s="419">
        <f>SUMIFS('boc xe'!U$2:U$27,'boc xe'!$B$2:$B$27,'chia CN boc xe'!$C49)</f>
        <v>0</v>
      </c>
      <c r="E49" s="419">
        <f>SUMIFS('boc xe'!V$2:V$27,'boc xe'!$B$2:$B$27,'chia CN boc xe'!$C49)</f>
        <v>0</v>
      </c>
      <c r="F49" s="419">
        <f>SUMIFS('boc xe'!W$2:W$27,'boc xe'!$B$2:$B$27,'chia CN boc xe'!$C49)</f>
        <v>0</v>
      </c>
      <c r="G49" s="419">
        <f>SUMIFS('boc xe'!X$2:X$27,'boc xe'!$B$2:$B$27,'chia CN boc xe'!$C49)</f>
        <v>0</v>
      </c>
      <c r="H49" s="419">
        <f>SUMIFS('boc xe'!Y$2:Y$27,'boc xe'!$B$2:$B$27,'chia CN boc xe'!$C49)</f>
        <v>0</v>
      </c>
      <c r="I49" s="419">
        <f>SUMIFS('boc xe'!Z$2:Z$27,'boc xe'!$B$2:$B$27,'chia CN boc xe'!$C49)</f>
        <v>30</v>
      </c>
      <c r="J49" s="419">
        <f>SUMIFS('boc xe'!AA$2:AA$27,'boc xe'!$B$2:$B$27,'chia CN boc xe'!$C49)</f>
        <v>0</v>
      </c>
      <c r="K49" s="419">
        <f>SUMIFS('boc xe'!AB$2:AB$27,'boc xe'!$B$2:$B$27,'chia CN boc xe'!$C49)</f>
        <v>0</v>
      </c>
      <c r="L49" s="419">
        <f>SUMIFS('boc xe'!AC$2:AC$27,'boc xe'!$B$2:$B$27,'chia CN boc xe'!$C49)</f>
        <v>0</v>
      </c>
      <c r="M49" s="419">
        <f>SUMIFS('boc xe'!AD$2:AD$27,'boc xe'!$B$2:$B$27,'chia CN boc xe'!$C49)</f>
        <v>0</v>
      </c>
      <c r="N49" s="419">
        <f>SUMIFS('boc xe'!AE$2:AE$27,'boc xe'!$B$2:$B$27,'chia CN boc xe'!$C49)</f>
        <v>0</v>
      </c>
      <c r="O49" s="419">
        <f>SUMIFS('boc xe'!AF$2:AF$27,'boc xe'!$B$2:$B$27,'chia CN boc xe'!$C49)</f>
        <v>0</v>
      </c>
      <c r="P49" s="419">
        <f>SUMIFS('boc xe'!AG$2:AG$27,'boc xe'!$B$2:$B$27,'chia CN boc xe'!$C49)</f>
        <v>0</v>
      </c>
      <c r="Q49" s="419">
        <f>SUMIFS('boc xe'!AH$2:AH$27,'boc xe'!$B$2:$B$27,'chia CN boc xe'!$C49)</f>
        <v>0</v>
      </c>
      <c r="R49" s="419">
        <f>SUMIFS('boc xe'!AI$2:AI$27,'boc xe'!$B$2:$B$27,'chia CN boc xe'!$C49)</f>
        <v>0</v>
      </c>
      <c r="S49" s="419">
        <f>SUMIFS('boc xe'!AJ$2:AJ$27,'boc xe'!$B$2:$B$27,'chia CN boc xe'!$C49)</f>
        <v>0</v>
      </c>
      <c r="U49" s="545" t="e">
        <f>'BANG LUONG 1'!#REF!</f>
        <v>#REF!</v>
      </c>
      <c r="V49" s="81">
        <f t="shared" si="17"/>
        <v>0</v>
      </c>
      <c r="W49" s="81">
        <f t="shared" si="18"/>
        <v>0</v>
      </c>
      <c r="X49" s="81">
        <f t="shared" si="19"/>
        <v>0</v>
      </c>
      <c r="Y49" s="81">
        <f t="shared" si="20"/>
        <v>0</v>
      </c>
      <c r="Z49" s="81">
        <f t="shared" si="21"/>
        <v>0</v>
      </c>
      <c r="AA49" s="81">
        <f t="shared" si="22"/>
        <v>0</v>
      </c>
      <c r="AB49" s="81">
        <f t="shared" si="23"/>
        <v>0</v>
      </c>
      <c r="AC49" s="81">
        <f t="shared" si="24"/>
        <v>0</v>
      </c>
      <c r="AD49" s="81">
        <f t="shared" si="25"/>
        <v>0</v>
      </c>
      <c r="AE49" s="81">
        <f t="shared" si="26"/>
        <v>0</v>
      </c>
      <c r="AF49" s="81">
        <f t="shared" si="27"/>
        <v>0</v>
      </c>
      <c r="AG49" s="81">
        <f t="shared" si="28"/>
        <v>0</v>
      </c>
      <c r="AH49" s="81">
        <f t="shared" si="29"/>
        <v>0</v>
      </c>
      <c r="AI49" s="81">
        <f t="shared" si="30"/>
        <v>0</v>
      </c>
      <c r="AJ49" s="81">
        <f t="shared" si="31"/>
        <v>0</v>
      </c>
      <c r="AK49" s="81">
        <f t="shared" si="32"/>
        <v>0</v>
      </c>
    </row>
    <row r="50" spans="1:37">
      <c r="A50" s="421">
        <v>49</v>
      </c>
      <c r="B50" s="546" t="s">
        <v>748</v>
      </c>
      <c r="C50" s="421">
        <v>8</v>
      </c>
      <c r="D50" s="419">
        <f>SUMIFS('boc xe'!U$2:U$27,'boc xe'!$B$2:$B$27,'chia CN boc xe'!$C50)</f>
        <v>0</v>
      </c>
      <c r="E50" s="419">
        <f>SUMIFS('boc xe'!V$2:V$27,'boc xe'!$B$2:$B$27,'chia CN boc xe'!$C50)</f>
        <v>0</v>
      </c>
      <c r="F50" s="419">
        <f>SUMIFS('boc xe'!W$2:W$27,'boc xe'!$B$2:$B$27,'chia CN boc xe'!$C50)</f>
        <v>0</v>
      </c>
      <c r="G50" s="419">
        <f>SUMIFS('boc xe'!X$2:X$27,'boc xe'!$B$2:$B$27,'chia CN boc xe'!$C50)</f>
        <v>0</v>
      </c>
      <c r="H50" s="419">
        <f>SUMIFS('boc xe'!Y$2:Y$27,'boc xe'!$B$2:$B$27,'chia CN boc xe'!$C50)</f>
        <v>0</v>
      </c>
      <c r="I50" s="419">
        <f>SUMIFS('boc xe'!Z$2:Z$27,'boc xe'!$B$2:$B$27,'chia CN boc xe'!$C50)</f>
        <v>30</v>
      </c>
      <c r="J50" s="419">
        <f>SUMIFS('boc xe'!AA$2:AA$27,'boc xe'!$B$2:$B$27,'chia CN boc xe'!$C50)</f>
        <v>0</v>
      </c>
      <c r="K50" s="419">
        <f>SUMIFS('boc xe'!AB$2:AB$27,'boc xe'!$B$2:$B$27,'chia CN boc xe'!$C50)</f>
        <v>0</v>
      </c>
      <c r="L50" s="419">
        <f>SUMIFS('boc xe'!AC$2:AC$27,'boc xe'!$B$2:$B$27,'chia CN boc xe'!$C50)</f>
        <v>0</v>
      </c>
      <c r="M50" s="419">
        <f>SUMIFS('boc xe'!AD$2:AD$27,'boc xe'!$B$2:$B$27,'chia CN boc xe'!$C50)</f>
        <v>0</v>
      </c>
      <c r="N50" s="419">
        <f>SUMIFS('boc xe'!AE$2:AE$27,'boc xe'!$B$2:$B$27,'chia CN boc xe'!$C50)</f>
        <v>0</v>
      </c>
      <c r="O50" s="419">
        <f>SUMIFS('boc xe'!AF$2:AF$27,'boc xe'!$B$2:$B$27,'chia CN boc xe'!$C50)</f>
        <v>0</v>
      </c>
      <c r="P50" s="419">
        <f>SUMIFS('boc xe'!AG$2:AG$27,'boc xe'!$B$2:$B$27,'chia CN boc xe'!$C50)</f>
        <v>0</v>
      </c>
      <c r="Q50" s="419">
        <f>SUMIFS('boc xe'!AH$2:AH$27,'boc xe'!$B$2:$B$27,'chia CN boc xe'!$C50)</f>
        <v>0</v>
      </c>
      <c r="R50" s="419">
        <f>SUMIFS('boc xe'!AI$2:AI$27,'boc xe'!$B$2:$B$27,'chia CN boc xe'!$C50)</f>
        <v>0</v>
      </c>
      <c r="S50" s="419">
        <f>SUMIFS('boc xe'!AJ$2:AJ$27,'boc xe'!$B$2:$B$27,'chia CN boc xe'!$C50)</f>
        <v>0</v>
      </c>
      <c r="U50" s="546" t="e">
        <f>'BANG LUONG 1'!#REF!</f>
        <v>#REF!</v>
      </c>
      <c r="V50" s="81">
        <f t="shared" si="17"/>
        <v>0</v>
      </c>
      <c r="W50" s="81">
        <f t="shared" si="18"/>
        <v>0</v>
      </c>
      <c r="X50" s="81">
        <f t="shared" si="19"/>
        <v>0</v>
      </c>
      <c r="Y50" s="81">
        <f t="shared" si="20"/>
        <v>0</v>
      </c>
      <c r="Z50" s="81">
        <f t="shared" si="21"/>
        <v>0</v>
      </c>
      <c r="AA50" s="81">
        <f t="shared" si="22"/>
        <v>0</v>
      </c>
      <c r="AB50" s="81">
        <f t="shared" si="23"/>
        <v>0</v>
      </c>
      <c r="AC50" s="81">
        <f t="shared" si="24"/>
        <v>0</v>
      </c>
      <c r="AD50" s="81">
        <f t="shared" si="25"/>
        <v>0</v>
      </c>
      <c r="AE50" s="81">
        <f t="shared" si="26"/>
        <v>0</v>
      </c>
      <c r="AF50" s="81">
        <f t="shared" si="27"/>
        <v>0</v>
      </c>
      <c r="AG50" s="81">
        <f t="shared" si="28"/>
        <v>0</v>
      </c>
      <c r="AH50" s="81">
        <f t="shared" si="29"/>
        <v>0</v>
      </c>
      <c r="AI50" s="81">
        <f t="shared" si="30"/>
        <v>0</v>
      </c>
      <c r="AJ50" s="81">
        <f t="shared" si="31"/>
        <v>0</v>
      </c>
      <c r="AK50" s="81">
        <f t="shared" si="32"/>
        <v>0</v>
      </c>
    </row>
    <row r="51" spans="1:37">
      <c r="A51" s="421">
        <v>50</v>
      </c>
      <c r="B51" s="546" t="s">
        <v>617</v>
      </c>
      <c r="C51" s="421">
        <v>9</v>
      </c>
      <c r="D51" s="419">
        <f>SUMIFS('boc xe'!U$2:U$27,'boc xe'!$B$2:$B$27,'chia CN boc xe'!$C51)</f>
        <v>0</v>
      </c>
      <c r="E51" s="419">
        <f>SUMIFS('boc xe'!V$2:V$27,'boc xe'!$B$2:$B$27,'chia CN boc xe'!$C51)</f>
        <v>0</v>
      </c>
      <c r="F51" s="419">
        <f>SUMIFS('boc xe'!W$2:W$27,'boc xe'!$B$2:$B$27,'chia CN boc xe'!$C51)</f>
        <v>0</v>
      </c>
      <c r="G51" s="419">
        <f>SUMIFS('boc xe'!X$2:X$27,'boc xe'!$B$2:$B$27,'chia CN boc xe'!$C51)</f>
        <v>0</v>
      </c>
      <c r="H51" s="419">
        <f>SUMIFS('boc xe'!Y$2:Y$27,'boc xe'!$B$2:$B$27,'chia CN boc xe'!$C51)</f>
        <v>0</v>
      </c>
      <c r="I51" s="419">
        <f>SUMIFS('boc xe'!Z$2:Z$27,'boc xe'!$B$2:$B$27,'chia CN boc xe'!$C51)</f>
        <v>30</v>
      </c>
      <c r="J51" s="419">
        <f>SUMIFS('boc xe'!AA$2:AA$27,'boc xe'!$B$2:$B$27,'chia CN boc xe'!$C51)</f>
        <v>0</v>
      </c>
      <c r="K51" s="419">
        <f>SUMIFS('boc xe'!AB$2:AB$27,'boc xe'!$B$2:$B$27,'chia CN boc xe'!$C51)</f>
        <v>0</v>
      </c>
      <c r="L51" s="419">
        <f>SUMIFS('boc xe'!AC$2:AC$27,'boc xe'!$B$2:$B$27,'chia CN boc xe'!$C51)</f>
        <v>0</v>
      </c>
      <c r="M51" s="419">
        <f>SUMIFS('boc xe'!AD$2:AD$27,'boc xe'!$B$2:$B$27,'chia CN boc xe'!$C51)</f>
        <v>0</v>
      </c>
      <c r="N51" s="419">
        <f>SUMIFS('boc xe'!AE$2:AE$27,'boc xe'!$B$2:$B$27,'chia CN boc xe'!$C51)</f>
        <v>0</v>
      </c>
      <c r="O51" s="419">
        <f>SUMIFS('boc xe'!AF$2:AF$27,'boc xe'!$B$2:$B$27,'chia CN boc xe'!$C51)</f>
        <v>0</v>
      </c>
      <c r="P51" s="419">
        <f>SUMIFS('boc xe'!AG$2:AG$27,'boc xe'!$B$2:$B$27,'chia CN boc xe'!$C51)</f>
        <v>0</v>
      </c>
      <c r="Q51" s="419">
        <f>SUMIFS('boc xe'!AH$2:AH$27,'boc xe'!$B$2:$B$27,'chia CN boc xe'!$C51)</f>
        <v>0</v>
      </c>
      <c r="R51" s="419">
        <f>SUMIFS('boc xe'!AI$2:AI$27,'boc xe'!$B$2:$B$27,'chia CN boc xe'!$C51)</f>
        <v>0</v>
      </c>
      <c r="S51" s="419">
        <f>SUMIFS('boc xe'!AJ$2:AJ$27,'boc xe'!$B$2:$B$27,'chia CN boc xe'!$C51)</f>
        <v>0</v>
      </c>
      <c r="U51" s="254" t="e">
        <f>'BANG LUONG 1'!#REF!</f>
        <v>#REF!</v>
      </c>
      <c r="V51" s="81">
        <f t="shared" si="17"/>
        <v>0</v>
      </c>
      <c r="W51" s="81">
        <f t="shared" si="18"/>
        <v>0</v>
      </c>
      <c r="X51" s="81">
        <f t="shared" si="19"/>
        <v>0</v>
      </c>
      <c r="Y51" s="81">
        <f t="shared" si="20"/>
        <v>0</v>
      </c>
      <c r="Z51" s="81">
        <f t="shared" si="21"/>
        <v>0</v>
      </c>
      <c r="AA51" s="81">
        <f t="shared" si="22"/>
        <v>0</v>
      </c>
      <c r="AB51" s="81">
        <f t="shared" si="23"/>
        <v>0</v>
      </c>
      <c r="AC51" s="81">
        <f t="shared" si="24"/>
        <v>0</v>
      </c>
      <c r="AD51" s="81">
        <f t="shared" si="25"/>
        <v>0</v>
      </c>
      <c r="AE51" s="81">
        <f t="shared" si="26"/>
        <v>0</v>
      </c>
      <c r="AF51" s="81">
        <f t="shared" si="27"/>
        <v>0</v>
      </c>
      <c r="AG51" s="81">
        <f t="shared" si="28"/>
        <v>0</v>
      </c>
      <c r="AH51" s="81">
        <f t="shared" si="29"/>
        <v>0</v>
      </c>
      <c r="AI51" s="81">
        <f t="shared" si="30"/>
        <v>0</v>
      </c>
      <c r="AJ51" s="81">
        <f t="shared" si="31"/>
        <v>0</v>
      </c>
      <c r="AK51" s="81">
        <f t="shared" si="32"/>
        <v>0</v>
      </c>
    </row>
    <row r="52" spans="1:37">
      <c r="A52" s="421">
        <v>51</v>
      </c>
      <c r="B52" s="546" t="s">
        <v>618</v>
      </c>
      <c r="C52" s="421">
        <v>9</v>
      </c>
      <c r="D52" s="419">
        <f>SUMIFS('boc xe'!U$2:U$27,'boc xe'!$B$2:$B$27,'chia CN boc xe'!$C52)</f>
        <v>0</v>
      </c>
      <c r="E52" s="419">
        <f>SUMIFS('boc xe'!V$2:V$27,'boc xe'!$B$2:$B$27,'chia CN boc xe'!$C52)</f>
        <v>0</v>
      </c>
      <c r="F52" s="419">
        <f>SUMIFS('boc xe'!W$2:W$27,'boc xe'!$B$2:$B$27,'chia CN boc xe'!$C52)</f>
        <v>0</v>
      </c>
      <c r="G52" s="419">
        <f>SUMIFS('boc xe'!X$2:X$27,'boc xe'!$B$2:$B$27,'chia CN boc xe'!$C52)</f>
        <v>0</v>
      </c>
      <c r="H52" s="419">
        <f>SUMIFS('boc xe'!Y$2:Y$27,'boc xe'!$B$2:$B$27,'chia CN boc xe'!$C52)</f>
        <v>0</v>
      </c>
      <c r="I52" s="419">
        <f>SUMIFS('boc xe'!Z$2:Z$27,'boc xe'!$B$2:$B$27,'chia CN boc xe'!$C52)</f>
        <v>30</v>
      </c>
      <c r="J52" s="419">
        <f>SUMIFS('boc xe'!AA$2:AA$27,'boc xe'!$B$2:$B$27,'chia CN boc xe'!$C52)</f>
        <v>0</v>
      </c>
      <c r="K52" s="419">
        <f>SUMIFS('boc xe'!AB$2:AB$27,'boc xe'!$B$2:$B$27,'chia CN boc xe'!$C52)</f>
        <v>0</v>
      </c>
      <c r="L52" s="419">
        <f>SUMIFS('boc xe'!AC$2:AC$27,'boc xe'!$B$2:$B$27,'chia CN boc xe'!$C52)</f>
        <v>0</v>
      </c>
      <c r="M52" s="419">
        <f>SUMIFS('boc xe'!AD$2:AD$27,'boc xe'!$B$2:$B$27,'chia CN boc xe'!$C52)</f>
        <v>0</v>
      </c>
      <c r="N52" s="419">
        <f>SUMIFS('boc xe'!AE$2:AE$27,'boc xe'!$B$2:$B$27,'chia CN boc xe'!$C52)</f>
        <v>0</v>
      </c>
      <c r="O52" s="419">
        <f>SUMIFS('boc xe'!AF$2:AF$27,'boc xe'!$B$2:$B$27,'chia CN boc xe'!$C52)</f>
        <v>0</v>
      </c>
      <c r="P52" s="419">
        <f>SUMIFS('boc xe'!AG$2:AG$27,'boc xe'!$B$2:$B$27,'chia CN boc xe'!$C52)</f>
        <v>0</v>
      </c>
      <c r="Q52" s="419">
        <f>SUMIFS('boc xe'!AH$2:AH$27,'boc xe'!$B$2:$B$27,'chia CN boc xe'!$C52)</f>
        <v>0</v>
      </c>
      <c r="R52" s="419">
        <f>SUMIFS('boc xe'!AI$2:AI$27,'boc xe'!$B$2:$B$27,'chia CN boc xe'!$C52)</f>
        <v>0</v>
      </c>
      <c r="S52" s="419">
        <f>SUMIFS('boc xe'!AJ$2:AJ$27,'boc xe'!$B$2:$B$27,'chia CN boc xe'!$C52)</f>
        <v>0</v>
      </c>
      <c r="U52" s="254" t="e">
        <f>'BANG LUONG 1'!#REF!</f>
        <v>#REF!</v>
      </c>
      <c r="V52" s="81">
        <f t="shared" si="17"/>
        <v>0</v>
      </c>
      <c r="W52" s="81">
        <f t="shared" si="18"/>
        <v>0</v>
      </c>
      <c r="X52" s="81">
        <f t="shared" si="19"/>
        <v>0</v>
      </c>
      <c r="Y52" s="81">
        <f t="shared" si="20"/>
        <v>0</v>
      </c>
      <c r="Z52" s="81">
        <f t="shared" si="21"/>
        <v>0</v>
      </c>
      <c r="AA52" s="81">
        <f t="shared" si="22"/>
        <v>0</v>
      </c>
      <c r="AB52" s="81">
        <f t="shared" si="23"/>
        <v>0</v>
      </c>
      <c r="AC52" s="81">
        <f t="shared" si="24"/>
        <v>0</v>
      </c>
      <c r="AD52" s="81">
        <f t="shared" si="25"/>
        <v>0</v>
      </c>
      <c r="AE52" s="81">
        <f t="shared" si="26"/>
        <v>0</v>
      </c>
      <c r="AF52" s="81">
        <f t="shared" si="27"/>
        <v>0</v>
      </c>
      <c r="AG52" s="81">
        <f t="shared" si="28"/>
        <v>0</v>
      </c>
      <c r="AH52" s="81">
        <f t="shared" si="29"/>
        <v>0</v>
      </c>
      <c r="AI52" s="81">
        <f t="shared" si="30"/>
        <v>0</v>
      </c>
      <c r="AJ52" s="81">
        <f t="shared" si="31"/>
        <v>0</v>
      </c>
      <c r="AK52" s="81">
        <f t="shared" si="32"/>
        <v>0</v>
      </c>
    </row>
    <row r="53" spans="1:37">
      <c r="A53" s="421">
        <v>52</v>
      </c>
      <c r="B53" s="546" t="s">
        <v>620</v>
      </c>
      <c r="C53" s="421">
        <v>9</v>
      </c>
      <c r="D53" s="419">
        <f>SUMIFS('boc xe'!U$2:U$27,'boc xe'!$B$2:$B$27,'chia CN boc xe'!$C53)</f>
        <v>0</v>
      </c>
      <c r="E53" s="419">
        <f>SUMIFS('boc xe'!V$2:V$27,'boc xe'!$B$2:$B$27,'chia CN boc xe'!$C53)</f>
        <v>0</v>
      </c>
      <c r="F53" s="419">
        <f>SUMIFS('boc xe'!W$2:W$27,'boc xe'!$B$2:$B$27,'chia CN boc xe'!$C53)</f>
        <v>0</v>
      </c>
      <c r="G53" s="419">
        <f>SUMIFS('boc xe'!X$2:X$27,'boc xe'!$B$2:$B$27,'chia CN boc xe'!$C53)</f>
        <v>0</v>
      </c>
      <c r="H53" s="419">
        <f>SUMIFS('boc xe'!Y$2:Y$27,'boc xe'!$B$2:$B$27,'chia CN boc xe'!$C53)</f>
        <v>0</v>
      </c>
      <c r="I53" s="419">
        <f>SUMIFS('boc xe'!Z$2:Z$27,'boc xe'!$B$2:$B$27,'chia CN boc xe'!$C53)</f>
        <v>30</v>
      </c>
      <c r="J53" s="419">
        <f>SUMIFS('boc xe'!AA$2:AA$27,'boc xe'!$B$2:$B$27,'chia CN boc xe'!$C53)</f>
        <v>0</v>
      </c>
      <c r="K53" s="419">
        <f>SUMIFS('boc xe'!AB$2:AB$27,'boc xe'!$B$2:$B$27,'chia CN boc xe'!$C53)</f>
        <v>0</v>
      </c>
      <c r="L53" s="419">
        <f>SUMIFS('boc xe'!AC$2:AC$27,'boc xe'!$B$2:$B$27,'chia CN boc xe'!$C53)</f>
        <v>0</v>
      </c>
      <c r="M53" s="419">
        <f>SUMIFS('boc xe'!AD$2:AD$27,'boc xe'!$B$2:$B$27,'chia CN boc xe'!$C53)</f>
        <v>0</v>
      </c>
      <c r="N53" s="419">
        <f>SUMIFS('boc xe'!AE$2:AE$27,'boc xe'!$B$2:$B$27,'chia CN boc xe'!$C53)</f>
        <v>0</v>
      </c>
      <c r="O53" s="419">
        <f>SUMIFS('boc xe'!AF$2:AF$27,'boc xe'!$B$2:$B$27,'chia CN boc xe'!$C53)</f>
        <v>0</v>
      </c>
      <c r="P53" s="419">
        <f>SUMIFS('boc xe'!AG$2:AG$27,'boc xe'!$B$2:$B$27,'chia CN boc xe'!$C53)</f>
        <v>0</v>
      </c>
      <c r="Q53" s="419">
        <f>SUMIFS('boc xe'!AH$2:AH$27,'boc xe'!$B$2:$B$27,'chia CN boc xe'!$C53)</f>
        <v>0</v>
      </c>
      <c r="R53" s="419">
        <f>SUMIFS('boc xe'!AI$2:AI$27,'boc xe'!$B$2:$B$27,'chia CN boc xe'!$C53)</f>
        <v>0</v>
      </c>
      <c r="S53" s="419">
        <f>SUMIFS('boc xe'!AJ$2:AJ$27,'boc xe'!$B$2:$B$27,'chia CN boc xe'!$C53)</f>
        <v>0</v>
      </c>
      <c r="U53" s="546" t="e">
        <f>'BANG LUONG 1'!#REF!</f>
        <v>#REF!</v>
      </c>
      <c r="V53" s="81">
        <f t="shared" si="17"/>
        <v>0</v>
      </c>
      <c r="W53" s="81">
        <f t="shared" si="18"/>
        <v>0</v>
      </c>
      <c r="X53" s="81">
        <f t="shared" si="19"/>
        <v>0</v>
      </c>
      <c r="Y53" s="81">
        <f t="shared" si="20"/>
        <v>0</v>
      </c>
      <c r="Z53" s="81">
        <f t="shared" si="21"/>
        <v>0</v>
      </c>
      <c r="AA53" s="81">
        <f t="shared" si="22"/>
        <v>0</v>
      </c>
      <c r="AB53" s="81">
        <f t="shared" si="23"/>
        <v>0</v>
      </c>
      <c r="AC53" s="81">
        <f t="shared" si="24"/>
        <v>0</v>
      </c>
      <c r="AD53" s="81">
        <f t="shared" si="25"/>
        <v>0</v>
      </c>
      <c r="AE53" s="81">
        <f t="shared" si="26"/>
        <v>0</v>
      </c>
      <c r="AF53" s="81">
        <f t="shared" si="27"/>
        <v>0</v>
      </c>
      <c r="AG53" s="81">
        <f t="shared" si="28"/>
        <v>0</v>
      </c>
      <c r="AH53" s="81">
        <f t="shared" si="29"/>
        <v>0</v>
      </c>
      <c r="AI53" s="81">
        <f t="shared" si="30"/>
        <v>0</v>
      </c>
      <c r="AJ53" s="81">
        <f t="shared" si="31"/>
        <v>0</v>
      </c>
      <c r="AK53" s="81">
        <f t="shared" si="32"/>
        <v>0</v>
      </c>
    </row>
    <row r="54" spans="1:37">
      <c r="A54" s="421">
        <v>53</v>
      </c>
      <c r="B54" s="546" t="s">
        <v>743</v>
      </c>
      <c r="C54" s="421">
        <v>9</v>
      </c>
      <c r="D54" s="419">
        <f>SUMIFS('boc xe'!U$2:U$27,'boc xe'!$B$2:$B$27,'chia CN boc xe'!$C54)</f>
        <v>0</v>
      </c>
      <c r="E54" s="419">
        <f>SUMIFS('boc xe'!V$2:V$27,'boc xe'!$B$2:$B$27,'chia CN boc xe'!$C54)</f>
        <v>0</v>
      </c>
      <c r="F54" s="419">
        <f>SUMIFS('boc xe'!W$2:W$27,'boc xe'!$B$2:$B$27,'chia CN boc xe'!$C54)</f>
        <v>0</v>
      </c>
      <c r="G54" s="419">
        <f>SUMIFS('boc xe'!X$2:X$27,'boc xe'!$B$2:$B$27,'chia CN boc xe'!$C54)</f>
        <v>0</v>
      </c>
      <c r="H54" s="419">
        <f>SUMIFS('boc xe'!Y$2:Y$27,'boc xe'!$B$2:$B$27,'chia CN boc xe'!$C54)</f>
        <v>0</v>
      </c>
      <c r="I54" s="419">
        <f>SUMIFS('boc xe'!Z$2:Z$27,'boc xe'!$B$2:$B$27,'chia CN boc xe'!$C54)</f>
        <v>30</v>
      </c>
      <c r="J54" s="419">
        <f>SUMIFS('boc xe'!AA$2:AA$27,'boc xe'!$B$2:$B$27,'chia CN boc xe'!$C54)</f>
        <v>0</v>
      </c>
      <c r="K54" s="419">
        <f>SUMIFS('boc xe'!AB$2:AB$27,'boc xe'!$B$2:$B$27,'chia CN boc xe'!$C54)</f>
        <v>0</v>
      </c>
      <c r="L54" s="419">
        <f>SUMIFS('boc xe'!AC$2:AC$27,'boc xe'!$B$2:$B$27,'chia CN boc xe'!$C54)</f>
        <v>0</v>
      </c>
      <c r="M54" s="419">
        <f>SUMIFS('boc xe'!AD$2:AD$27,'boc xe'!$B$2:$B$27,'chia CN boc xe'!$C54)</f>
        <v>0</v>
      </c>
      <c r="N54" s="419">
        <f>SUMIFS('boc xe'!AE$2:AE$27,'boc xe'!$B$2:$B$27,'chia CN boc xe'!$C54)</f>
        <v>0</v>
      </c>
      <c r="O54" s="419">
        <f>SUMIFS('boc xe'!AF$2:AF$27,'boc xe'!$B$2:$B$27,'chia CN boc xe'!$C54)</f>
        <v>0</v>
      </c>
      <c r="P54" s="419">
        <f>SUMIFS('boc xe'!AG$2:AG$27,'boc xe'!$B$2:$B$27,'chia CN boc xe'!$C54)</f>
        <v>0</v>
      </c>
      <c r="Q54" s="419">
        <f>SUMIFS('boc xe'!AH$2:AH$27,'boc xe'!$B$2:$B$27,'chia CN boc xe'!$C54)</f>
        <v>0</v>
      </c>
      <c r="R54" s="419">
        <f>SUMIFS('boc xe'!AI$2:AI$27,'boc xe'!$B$2:$B$27,'chia CN boc xe'!$C54)</f>
        <v>0</v>
      </c>
      <c r="S54" s="419">
        <f>SUMIFS('boc xe'!AJ$2:AJ$27,'boc xe'!$B$2:$B$27,'chia CN boc xe'!$C54)</f>
        <v>0</v>
      </c>
      <c r="U54" s="545" t="e">
        <f>'BANG LUONG 1'!#REF!</f>
        <v>#REF!</v>
      </c>
      <c r="V54" s="81">
        <f t="shared" si="17"/>
        <v>0</v>
      </c>
      <c r="W54" s="81">
        <f t="shared" si="18"/>
        <v>0</v>
      </c>
      <c r="X54" s="81">
        <f t="shared" si="19"/>
        <v>0</v>
      </c>
      <c r="Y54" s="81">
        <f t="shared" si="20"/>
        <v>0</v>
      </c>
      <c r="Z54" s="81">
        <f t="shared" si="21"/>
        <v>0</v>
      </c>
      <c r="AA54" s="81">
        <f t="shared" si="22"/>
        <v>0</v>
      </c>
      <c r="AB54" s="81">
        <f t="shared" si="23"/>
        <v>0</v>
      </c>
      <c r="AC54" s="81">
        <f t="shared" si="24"/>
        <v>0</v>
      </c>
      <c r="AD54" s="81">
        <f t="shared" si="25"/>
        <v>0</v>
      </c>
      <c r="AE54" s="81">
        <f t="shared" si="26"/>
        <v>0</v>
      </c>
      <c r="AF54" s="81">
        <f t="shared" si="27"/>
        <v>0</v>
      </c>
      <c r="AG54" s="81">
        <f t="shared" si="28"/>
        <v>0</v>
      </c>
      <c r="AH54" s="81">
        <f t="shared" si="29"/>
        <v>0</v>
      </c>
      <c r="AI54" s="81">
        <f t="shared" si="30"/>
        <v>0</v>
      </c>
      <c r="AJ54" s="81">
        <f t="shared" si="31"/>
        <v>0</v>
      </c>
      <c r="AK54" s="81">
        <f t="shared" si="32"/>
        <v>0</v>
      </c>
    </row>
    <row r="55" spans="1:37">
      <c r="A55" s="421">
        <v>54</v>
      </c>
      <c r="B55" s="546" t="s">
        <v>747</v>
      </c>
      <c r="C55" s="421">
        <v>9</v>
      </c>
      <c r="D55" s="419">
        <f>SUMIFS('boc xe'!U$2:U$27,'boc xe'!$B$2:$B$27,'chia CN boc xe'!$C55)</f>
        <v>0</v>
      </c>
      <c r="E55" s="419">
        <f>SUMIFS('boc xe'!V$2:V$27,'boc xe'!$B$2:$B$27,'chia CN boc xe'!$C55)</f>
        <v>0</v>
      </c>
      <c r="F55" s="419">
        <f>SUMIFS('boc xe'!W$2:W$27,'boc xe'!$B$2:$B$27,'chia CN boc xe'!$C55)</f>
        <v>0</v>
      </c>
      <c r="G55" s="419">
        <f>SUMIFS('boc xe'!X$2:X$27,'boc xe'!$B$2:$B$27,'chia CN boc xe'!$C55)</f>
        <v>0</v>
      </c>
      <c r="H55" s="419">
        <f>SUMIFS('boc xe'!Y$2:Y$27,'boc xe'!$B$2:$B$27,'chia CN boc xe'!$C55)</f>
        <v>0</v>
      </c>
      <c r="I55" s="419">
        <f>SUMIFS('boc xe'!Z$2:Z$27,'boc xe'!$B$2:$B$27,'chia CN boc xe'!$C55)</f>
        <v>30</v>
      </c>
      <c r="J55" s="419">
        <f>SUMIFS('boc xe'!AA$2:AA$27,'boc xe'!$B$2:$B$27,'chia CN boc xe'!$C55)</f>
        <v>0</v>
      </c>
      <c r="K55" s="419">
        <f>SUMIFS('boc xe'!AB$2:AB$27,'boc xe'!$B$2:$B$27,'chia CN boc xe'!$C55)</f>
        <v>0</v>
      </c>
      <c r="L55" s="419">
        <f>SUMIFS('boc xe'!AC$2:AC$27,'boc xe'!$B$2:$B$27,'chia CN boc xe'!$C55)</f>
        <v>0</v>
      </c>
      <c r="M55" s="419">
        <f>SUMIFS('boc xe'!AD$2:AD$27,'boc xe'!$B$2:$B$27,'chia CN boc xe'!$C55)</f>
        <v>0</v>
      </c>
      <c r="N55" s="419">
        <f>SUMIFS('boc xe'!AE$2:AE$27,'boc xe'!$B$2:$B$27,'chia CN boc xe'!$C55)</f>
        <v>0</v>
      </c>
      <c r="O55" s="419">
        <f>SUMIFS('boc xe'!AF$2:AF$27,'boc xe'!$B$2:$B$27,'chia CN boc xe'!$C55)</f>
        <v>0</v>
      </c>
      <c r="P55" s="419">
        <f>SUMIFS('boc xe'!AG$2:AG$27,'boc xe'!$B$2:$B$27,'chia CN boc xe'!$C55)</f>
        <v>0</v>
      </c>
      <c r="Q55" s="419">
        <f>SUMIFS('boc xe'!AH$2:AH$27,'boc xe'!$B$2:$B$27,'chia CN boc xe'!$C55)</f>
        <v>0</v>
      </c>
      <c r="R55" s="419">
        <f>SUMIFS('boc xe'!AI$2:AI$27,'boc xe'!$B$2:$B$27,'chia CN boc xe'!$C55)</f>
        <v>0</v>
      </c>
      <c r="S55" s="419">
        <f>SUMIFS('boc xe'!AJ$2:AJ$27,'boc xe'!$B$2:$B$27,'chia CN boc xe'!$C55)</f>
        <v>0</v>
      </c>
      <c r="U55" s="254" t="str">
        <f>'BANG LUONG 1'!C29</f>
        <v>Trần văn Nguyện</v>
      </c>
      <c r="V55" s="81">
        <f t="shared" si="17"/>
        <v>0</v>
      </c>
      <c r="W55" s="81">
        <f t="shared" si="18"/>
        <v>0</v>
      </c>
      <c r="X55" s="81">
        <f t="shared" si="19"/>
        <v>0</v>
      </c>
      <c r="Y55" s="81">
        <f t="shared" si="20"/>
        <v>0</v>
      </c>
      <c r="Z55" s="81">
        <f t="shared" si="21"/>
        <v>0</v>
      </c>
      <c r="AA55" s="81">
        <f t="shared" si="22"/>
        <v>0</v>
      </c>
      <c r="AB55" s="81">
        <f t="shared" si="23"/>
        <v>0</v>
      </c>
      <c r="AC55" s="81">
        <f t="shared" si="24"/>
        <v>0</v>
      </c>
      <c r="AD55" s="81">
        <f t="shared" si="25"/>
        <v>0</v>
      </c>
      <c r="AE55" s="81">
        <f t="shared" si="26"/>
        <v>0</v>
      </c>
      <c r="AF55" s="81">
        <f t="shared" si="27"/>
        <v>0</v>
      </c>
      <c r="AG55" s="81">
        <f t="shared" si="28"/>
        <v>0</v>
      </c>
      <c r="AH55" s="81">
        <f t="shared" si="29"/>
        <v>0</v>
      </c>
      <c r="AI55" s="81">
        <f t="shared" si="30"/>
        <v>0</v>
      </c>
      <c r="AJ55" s="81">
        <f t="shared" si="31"/>
        <v>0</v>
      </c>
      <c r="AK55" s="81">
        <f t="shared" si="32"/>
        <v>0</v>
      </c>
    </row>
    <row r="56" spans="1:37">
      <c r="A56" s="421">
        <v>55</v>
      </c>
      <c r="B56" s="548" t="s">
        <v>752</v>
      </c>
      <c r="C56" s="421">
        <v>9</v>
      </c>
      <c r="D56" s="419">
        <f>SUMIFS('boc xe'!U$2:U$27,'boc xe'!$B$2:$B$27,'chia CN boc xe'!$C56)</f>
        <v>0</v>
      </c>
      <c r="E56" s="419">
        <f>SUMIFS('boc xe'!V$2:V$27,'boc xe'!$B$2:$B$27,'chia CN boc xe'!$C56)</f>
        <v>0</v>
      </c>
      <c r="F56" s="419">
        <f>SUMIFS('boc xe'!W$2:W$27,'boc xe'!$B$2:$B$27,'chia CN boc xe'!$C56)</f>
        <v>0</v>
      </c>
      <c r="G56" s="419">
        <f>SUMIFS('boc xe'!X$2:X$27,'boc xe'!$B$2:$B$27,'chia CN boc xe'!$C56)</f>
        <v>0</v>
      </c>
      <c r="H56" s="419">
        <f>SUMIFS('boc xe'!Y$2:Y$27,'boc xe'!$B$2:$B$27,'chia CN boc xe'!$C56)</f>
        <v>0</v>
      </c>
      <c r="I56" s="419">
        <f>SUMIFS('boc xe'!Z$2:Z$27,'boc xe'!$B$2:$B$27,'chia CN boc xe'!$C56)</f>
        <v>30</v>
      </c>
      <c r="J56" s="419">
        <f>SUMIFS('boc xe'!AA$2:AA$27,'boc xe'!$B$2:$B$27,'chia CN boc xe'!$C56)</f>
        <v>0</v>
      </c>
      <c r="K56" s="419">
        <f>SUMIFS('boc xe'!AB$2:AB$27,'boc xe'!$B$2:$B$27,'chia CN boc xe'!$C56)</f>
        <v>0</v>
      </c>
      <c r="L56" s="419">
        <f>SUMIFS('boc xe'!AC$2:AC$27,'boc xe'!$B$2:$B$27,'chia CN boc xe'!$C56)</f>
        <v>0</v>
      </c>
      <c r="M56" s="419">
        <f>SUMIFS('boc xe'!AD$2:AD$27,'boc xe'!$B$2:$B$27,'chia CN boc xe'!$C56)</f>
        <v>0</v>
      </c>
      <c r="N56" s="419">
        <f>SUMIFS('boc xe'!AE$2:AE$27,'boc xe'!$B$2:$B$27,'chia CN boc xe'!$C56)</f>
        <v>0</v>
      </c>
      <c r="O56" s="419">
        <f>SUMIFS('boc xe'!AF$2:AF$27,'boc xe'!$B$2:$B$27,'chia CN boc xe'!$C56)</f>
        <v>0</v>
      </c>
      <c r="P56" s="419">
        <f>SUMIFS('boc xe'!AG$2:AG$27,'boc xe'!$B$2:$B$27,'chia CN boc xe'!$C56)</f>
        <v>0</v>
      </c>
      <c r="Q56" s="419">
        <f>SUMIFS('boc xe'!AH$2:AH$27,'boc xe'!$B$2:$B$27,'chia CN boc xe'!$C56)</f>
        <v>0</v>
      </c>
      <c r="R56" s="419">
        <f>SUMIFS('boc xe'!AI$2:AI$27,'boc xe'!$B$2:$B$27,'chia CN boc xe'!$C56)</f>
        <v>0</v>
      </c>
      <c r="S56" s="419">
        <f>SUMIFS('boc xe'!AJ$2:AJ$27,'boc xe'!$B$2:$B$27,'chia CN boc xe'!$C56)</f>
        <v>0</v>
      </c>
      <c r="U56" s="546" t="e">
        <f>'BANG LUONG 1'!#REF!</f>
        <v>#REF!</v>
      </c>
      <c r="V56" s="81">
        <f t="shared" si="17"/>
        <v>0</v>
      </c>
      <c r="W56" s="81">
        <f t="shared" si="18"/>
        <v>0</v>
      </c>
      <c r="X56" s="81">
        <f t="shared" si="19"/>
        <v>0</v>
      </c>
      <c r="Y56" s="81">
        <f t="shared" si="20"/>
        <v>0</v>
      </c>
      <c r="Z56" s="81">
        <f t="shared" si="21"/>
        <v>0</v>
      </c>
      <c r="AA56" s="81">
        <f t="shared" si="22"/>
        <v>0</v>
      </c>
      <c r="AB56" s="81">
        <f t="shared" si="23"/>
        <v>0</v>
      </c>
      <c r="AC56" s="81">
        <f t="shared" si="24"/>
        <v>0</v>
      </c>
      <c r="AD56" s="81">
        <f t="shared" si="25"/>
        <v>0</v>
      </c>
      <c r="AE56" s="81">
        <f t="shared" si="26"/>
        <v>0</v>
      </c>
      <c r="AF56" s="81">
        <f t="shared" si="27"/>
        <v>0</v>
      </c>
      <c r="AG56" s="81">
        <f t="shared" si="28"/>
        <v>0</v>
      </c>
      <c r="AH56" s="81">
        <f t="shared" si="29"/>
        <v>0</v>
      </c>
      <c r="AI56" s="81">
        <f t="shared" si="30"/>
        <v>0</v>
      </c>
      <c r="AJ56" s="81">
        <f t="shared" si="31"/>
        <v>0</v>
      </c>
      <c r="AK56" s="81">
        <f t="shared" si="32"/>
        <v>0</v>
      </c>
    </row>
    <row r="57" spans="1:37">
      <c r="A57" s="421">
        <v>56</v>
      </c>
      <c r="B57" s="548"/>
      <c r="C57" s="421"/>
      <c r="D57" s="419">
        <f>SUMIFS('boc xe'!U$2:U$27,'boc xe'!$B$2:$B$27,'chia CN boc xe'!$C57)</f>
        <v>0</v>
      </c>
      <c r="E57" s="419">
        <f>SUMIFS('boc xe'!V$2:V$27,'boc xe'!$B$2:$B$27,'chia CN boc xe'!$C57)</f>
        <v>0</v>
      </c>
      <c r="F57" s="419">
        <f>SUMIFS('boc xe'!W$2:W$27,'boc xe'!$B$2:$B$27,'chia CN boc xe'!$C57)</f>
        <v>0</v>
      </c>
      <c r="G57" s="419">
        <f>SUMIFS('boc xe'!X$2:X$27,'boc xe'!$B$2:$B$27,'chia CN boc xe'!$C57)</f>
        <v>0</v>
      </c>
      <c r="H57" s="419">
        <f>SUMIFS('boc xe'!Y$2:Y$27,'boc xe'!$B$2:$B$27,'chia CN boc xe'!$C57)</f>
        <v>0</v>
      </c>
      <c r="I57" s="419">
        <f>SUMIFS('boc xe'!Z$2:Z$27,'boc xe'!$B$2:$B$27,'chia CN boc xe'!$C57)</f>
        <v>0</v>
      </c>
      <c r="J57" s="419">
        <f>SUMIFS('boc xe'!AA$2:AA$27,'boc xe'!$B$2:$B$27,'chia CN boc xe'!$C57)</f>
        <v>0</v>
      </c>
      <c r="K57" s="419">
        <f>SUMIFS('boc xe'!AB$2:AB$27,'boc xe'!$B$2:$B$27,'chia CN boc xe'!$C57)</f>
        <v>0</v>
      </c>
      <c r="L57" s="419">
        <f>SUMIFS('boc xe'!AC$2:AC$27,'boc xe'!$B$2:$B$27,'chia CN boc xe'!$C57)</f>
        <v>0</v>
      </c>
      <c r="M57" s="419">
        <f>SUMIFS('boc xe'!AD$2:AD$27,'boc xe'!$B$2:$B$27,'chia CN boc xe'!$C57)</f>
        <v>0</v>
      </c>
      <c r="N57" s="419">
        <f>SUMIFS('boc xe'!AE$2:AE$27,'boc xe'!$B$2:$B$27,'chia CN boc xe'!$C57)</f>
        <v>0</v>
      </c>
      <c r="O57" s="419">
        <f>SUMIFS('boc xe'!AF$2:AF$27,'boc xe'!$B$2:$B$27,'chia CN boc xe'!$C57)</f>
        <v>0</v>
      </c>
      <c r="P57" s="419">
        <f>SUMIFS('boc xe'!AG$2:AG$27,'boc xe'!$B$2:$B$27,'chia CN boc xe'!$C57)</f>
        <v>0</v>
      </c>
      <c r="Q57" s="419">
        <f>SUMIFS('boc xe'!AH$2:AH$27,'boc xe'!$B$2:$B$27,'chia CN boc xe'!$C57)</f>
        <v>0</v>
      </c>
      <c r="R57" s="419">
        <f>SUMIFS('boc xe'!AI$2:AI$27,'boc xe'!$B$2:$B$27,'chia CN boc xe'!$C57)</f>
        <v>0</v>
      </c>
      <c r="S57" s="419">
        <f>SUMIFS('boc xe'!AJ$2:AJ$27,'boc xe'!$B$2:$B$27,'chia CN boc xe'!$C57)</f>
        <v>0</v>
      </c>
      <c r="U57" s="546" t="e">
        <f>'BANG LUONG 1'!#REF!</f>
        <v>#REF!</v>
      </c>
      <c r="V57" s="81">
        <f t="shared" si="17"/>
        <v>0</v>
      </c>
      <c r="W57" s="81">
        <f t="shared" si="18"/>
        <v>0</v>
      </c>
      <c r="X57" s="81">
        <f t="shared" si="19"/>
        <v>0</v>
      </c>
      <c r="Y57" s="81">
        <f t="shared" si="20"/>
        <v>0</v>
      </c>
      <c r="Z57" s="81">
        <f t="shared" si="21"/>
        <v>0</v>
      </c>
      <c r="AA57" s="81">
        <f t="shared" si="22"/>
        <v>0</v>
      </c>
      <c r="AB57" s="81">
        <f t="shared" si="23"/>
        <v>0</v>
      </c>
      <c r="AC57" s="81">
        <f t="shared" si="24"/>
        <v>0</v>
      </c>
      <c r="AD57" s="81">
        <f t="shared" si="25"/>
        <v>0</v>
      </c>
      <c r="AE57" s="81">
        <f t="shared" si="26"/>
        <v>0</v>
      </c>
      <c r="AF57" s="81">
        <f t="shared" si="27"/>
        <v>0</v>
      </c>
      <c r="AG57" s="81">
        <f t="shared" si="28"/>
        <v>0</v>
      </c>
      <c r="AH57" s="81">
        <f t="shared" si="29"/>
        <v>0</v>
      </c>
      <c r="AI57" s="81">
        <f t="shared" si="30"/>
        <v>0</v>
      </c>
      <c r="AJ57" s="81">
        <f t="shared" si="31"/>
        <v>0</v>
      </c>
      <c r="AK57" s="81">
        <f t="shared" si="32"/>
        <v>0</v>
      </c>
    </row>
    <row r="58" spans="1:37">
      <c r="A58" s="421">
        <v>57</v>
      </c>
      <c r="B58" s="545"/>
      <c r="C58" s="421"/>
      <c r="D58" s="419">
        <f>SUMIFS('boc xe'!U$2:U$27,'boc xe'!$B$2:$B$27,'chia CN boc xe'!$C58)</f>
        <v>0</v>
      </c>
      <c r="E58" s="419">
        <f>SUMIFS('boc xe'!V$2:V$27,'boc xe'!$B$2:$B$27,'chia CN boc xe'!$C58)</f>
        <v>0</v>
      </c>
      <c r="F58" s="419">
        <f>SUMIFS('boc xe'!W$2:W$27,'boc xe'!$B$2:$B$27,'chia CN boc xe'!$C58)</f>
        <v>0</v>
      </c>
      <c r="G58" s="419">
        <f>SUMIFS('boc xe'!X$2:X$27,'boc xe'!$B$2:$B$27,'chia CN boc xe'!$C58)</f>
        <v>0</v>
      </c>
      <c r="H58" s="419">
        <f>SUMIFS('boc xe'!Y$2:Y$27,'boc xe'!$B$2:$B$27,'chia CN boc xe'!$C58)</f>
        <v>0</v>
      </c>
      <c r="I58" s="419">
        <f>SUMIFS('boc xe'!Z$2:Z$27,'boc xe'!$B$2:$B$27,'chia CN boc xe'!$C58)</f>
        <v>0</v>
      </c>
      <c r="J58" s="419">
        <f>SUMIFS('boc xe'!AA$2:AA$27,'boc xe'!$B$2:$B$27,'chia CN boc xe'!$C58)</f>
        <v>0</v>
      </c>
      <c r="K58" s="419">
        <f>SUMIFS('boc xe'!AB$2:AB$27,'boc xe'!$B$2:$B$27,'chia CN boc xe'!$C58)</f>
        <v>0</v>
      </c>
      <c r="L58" s="419">
        <f>SUMIFS('boc xe'!AC$2:AC$27,'boc xe'!$B$2:$B$27,'chia CN boc xe'!$C58)</f>
        <v>0</v>
      </c>
      <c r="M58" s="419">
        <f>SUMIFS('boc xe'!AD$2:AD$27,'boc xe'!$B$2:$B$27,'chia CN boc xe'!$C58)</f>
        <v>0</v>
      </c>
      <c r="N58" s="419">
        <f>SUMIFS('boc xe'!AE$2:AE$27,'boc xe'!$B$2:$B$27,'chia CN boc xe'!$C58)</f>
        <v>0</v>
      </c>
      <c r="O58" s="419">
        <f>SUMIFS('boc xe'!AF$2:AF$27,'boc xe'!$B$2:$B$27,'chia CN boc xe'!$C58)</f>
        <v>0</v>
      </c>
      <c r="P58" s="419">
        <f>SUMIFS('boc xe'!AG$2:AG$27,'boc xe'!$B$2:$B$27,'chia CN boc xe'!$C58)</f>
        <v>0</v>
      </c>
      <c r="Q58" s="419">
        <f>SUMIFS('boc xe'!AH$2:AH$27,'boc xe'!$B$2:$B$27,'chia CN boc xe'!$C58)</f>
        <v>0</v>
      </c>
      <c r="R58" s="419">
        <f>SUMIFS('boc xe'!AI$2:AI$27,'boc xe'!$B$2:$B$27,'chia CN boc xe'!$C58)</f>
        <v>0</v>
      </c>
      <c r="S58" s="419">
        <f>SUMIFS('boc xe'!AJ$2:AJ$27,'boc xe'!$B$2:$B$27,'chia CN boc xe'!$C58)</f>
        <v>0</v>
      </c>
      <c r="U58" s="546" t="e">
        <f>'BANG LUONG 1'!#REF!</f>
        <v>#REF!</v>
      </c>
      <c r="V58" s="81">
        <f t="shared" si="17"/>
        <v>0</v>
      </c>
      <c r="W58" s="81">
        <f t="shared" si="18"/>
        <v>0</v>
      </c>
      <c r="X58" s="81">
        <f t="shared" si="19"/>
        <v>0</v>
      </c>
      <c r="Y58" s="81">
        <f t="shared" si="20"/>
        <v>0</v>
      </c>
      <c r="Z58" s="81">
        <f t="shared" si="21"/>
        <v>0</v>
      </c>
      <c r="AA58" s="81">
        <f t="shared" si="22"/>
        <v>0</v>
      </c>
      <c r="AB58" s="81">
        <f t="shared" si="23"/>
        <v>0</v>
      </c>
      <c r="AC58" s="81">
        <f t="shared" si="24"/>
        <v>0</v>
      </c>
      <c r="AD58" s="81">
        <f t="shared" si="25"/>
        <v>0</v>
      </c>
      <c r="AE58" s="81">
        <f t="shared" si="26"/>
        <v>0</v>
      </c>
      <c r="AF58" s="81">
        <f t="shared" si="27"/>
        <v>0</v>
      </c>
      <c r="AG58" s="81">
        <f t="shared" si="28"/>
        <v>0</v>
      </c>
      <c r="AH58" s="81">
        <f t="shared" si="29"/>
        <v>0</v>
      </c>
      <c r="AI58" s="81">
        <f t="shared" si="30"/>
        <v>0</v>
      </c>
      <c r="AJ58" s="81">
        <f t="shared" si="31"/>
        <v>0</v>
      </c>
      <c r="AK58" s="81">
        <f t="shared" si="32"/>
        <v>0</v>
      </c>
    </row>
    <row r="59" spans="1:37">
      <c r="A59" s="421">
        <v>58</v>
      </c>
      <c r="B59" s="545"/>
      <c r="C59" s="421"/>
      <c r="D59" s="419">
        <f>SUMIFS('boc xe'!U$2:U$27,'boc xe'!$B$2:$B$27,'chia CN boc xe'!$C59)</f>
        <v>0</v>
      </c>
      <c r="E59" s="419">
        <f>SUMIFS('boc xe'!V$2:V$27,'boc xe'!$B$2:$B$27,'chia CN boc xe'!$C59)</f>
        <v>0</v>
      </c>
      <c r="F59" s="419">
        <f>SUMIFS('boc xe'!W$2:W$27,'boc xe'!$B$2:$B$27,'chia CN boc xe'!$C59)</f>
        <v>0</v>
      </c>
      <c r="G59" s="419">
        <f>SUMIFS('boc xe'!X$2:X$27,'boc xe'!$B$2:$B$27,'chia CN boc xe'!$C59)</f>
        <v>0</v>
      </c>
      <c r="H59" s="419">
        <f>SUMIFS('boc xe'!Y$2:Y$27,'boc xe'!$B$2:$B$27,'chia CN boc xe'!$C59)</f>
        <v>0</v>
      </c>
      <c r="I59" s="419">
        <f>SUMIFS('boc xe'!Z$2:Z$27,'boc xe'!$B$2:$B$27,'chia CN boc xe'!$C59)</f>
        <v>0</v>
      </c>
      <c r="J59" s="419">
        <f>SUMIFS('boc xe'!AA$2:AA$27,'boc xe'!$B$2:$B$27,'chia CN boc xe'!$C59)</f>
        <v>0</v>
      </c>
      <c r="K59" s="419">
        <f>SUMIFS('boc xe'!AB$2:AB$27,'boc xe'!$B$2:$B$27,'chia CN boc xe'!$C59)</f>
        <v>0</v>
      </c>
      <c r="L59" s="419">
        <f>SUMIFS('boc xe'!AC$2:AC$27,'boc xe'!$B$2:$B$27,'chia CN boc xe'!$C59)</f>
        <v>0</v>
      </c>
      <c r="M59" s="419">
        <f>SUMIFS('boc xe'!AD$2:AD$27,'boc xe'!$B$2:$B$27,'chia CN boc xe'!$C59)</f>
        <v>0</v>
      </c>
      <c r="N59" s="419">
        <f>SUMIFS('boc xe'!AE$2:AE$27,'boc xe'!$B$2:$B$27,'chia CN boc xe'!$C59)</f>
        <v>0</v>
      </c>
      <c r="O59" s="419">
        <f>SUMIFS('boc xe'!AF$2:AF$27,'boc xe'!$B$2:$B$27,'chia CN boc xe'!$C59)</f>
        <v>0</v>
      </c>
      <c r="P59" s="419">
        <f>SUMIFS('boc xe'!AG$2:AG$27,'boc xe'!$B$2:$B$27,'chia CN boc xe'!$C59)</f>
        <v>0</v>
      </c>
      <c r="Q59" s="419">
        <f>SUMIFS('boc xe'!AH$2:AH$27,'boc xe'!$B$2:$B$27,'chia CN boc xe'!$C59)</f>
        <v>0</v>
      </c>
      <c r="R59" s="419">
        <f>SUMIFS('boc xe'!AI$2:AI$27,'boc xe'!$B$2:$B$27,'chia CN boc xe'!$C59)</f>
        <v>0</v>
      </c>
      <c r="S59" s="419">
        <f>SUMIFS('boc xe'!AJ$2:AJ$27,'boc xe'!$B$2:$B$27,'chia CN boc xe'!$C59)</f>
        <v>0</v>
      </c>
      <c r="U59" s="545" t="e">
        <f>'BANG LUONG 1'!#REF!</f>
        <v>#REF!</v>
      </c>
      <c r="V59" s="81">
        <f t="shared" si="17"/>
        <v>0</v>
      </c>
      <c r="W59" s="81">
        <f t="shared" si="18"/>
        <v>0</v>
      </c>
      <c r="X59" s="81">
        <f t="shared" si="19"/>
        <v>0</v>
      </c>
      <c r="Y59" s="81">
        <f t="shared" si="20"/>
        <v>0</v>
      </c>
      <c r="Z59" s="81">
        <f t="shared" si="21"/>
        <v>0</v>
      </c>
      <c r="AA59" s="81">
        <f t="shared" si="22"/>
        <v>0</v>
      </c>
      <c r="AB59" s="81">
        <f t="shared" si="23"/>
        <v>0</v>
      </c>
      <c r="AC59" s="81">
        <f t="shared" si="24"/>
        <v>0</v>
      </c>
      <c r="AD59" s="81">
        <f t="shared" si="25"/>
        <v>0</v>
      </c>
      <c r="AE59" s="81">
        <f t="shared" si="26"/>
        <v>0</v>
      </c>
      <c r="AF59" s="81">
        <f t="shared" si="27"/>
        <v>0</v>
      </c>
      <c r="AG59" s="81">
        <f t="shared" si="28"/>
        <v>0</v>
      </c>
      <c r="AH59" s="81">
        <f t="shared" si="29"/>
        <v>0</v>
      </c>
      <c r="AI59" s="81">
        <f t="shared" si="30"/>
        <v>0</v>
      </c>
      <c r="AJ59" s="81">
        <f t="shared" si="31"/>
        <v>0</v>
      </c>
      <c r="AK59" s="81">
        <f t="shared" si="32"/>
        <v>0</v>
      </c>
    </row>
    <row r="60" spans="1:37">
      <c r="A60" s="421">
        <f>A59+1</f>
        <v>59</v>
      </c>
      <c r="B60" s="545"/>
      <c r="C60" s="421"/>
      <c r="D60" s="419">
        <f>SUMIFS('boc xe'!U$2:U$27,'boc xe'!$B$2:$B$27,'chia CN boc xe'!$C60)</f>
        <v>0</v>
      </c>
      <c r="E60" s="419">
        <f>SUMIFS('boc xe'!V$2:V$27,'boc xe'!$B$2:$B$27,'chia CN boc xe'!$C60)</f>
        <v>0</v>
      </c>
      <c r="F60" s="419">
        <f>SUMIFS('boc xe'!W$2:W$27,'boc xe'!$B$2:$B$27,'chia CN boc xe'!$C60)</f>
        <v>0</v>
      </c>
      <c r="G60" s="419">
        <f>SUMIFS('boc xe'!X$2:X$27,'boc xe'!$B$2:$B$27,'chia CN boc xe'!$C60)</f>
        <v>0</v>
      </c>
      <c r="H60" s="419">
        <f>SUMIFS('boc xe'!Y$2:Y$27,'boc xe'!$B$2:$B$27,'chia CN boc xe'!$C60)</f>
        <v>0</v>
      </c>
      <c r="I60" s="419">
        <f>SUMIFS('boc xe'!Z$2:Z$27,'boc xe'!$B$2:$B$27,'chia CN boc xe'!$C60)</f>
        <v>0</v>
      </c>
      <c r="J60" s="419">
        <f>SUMIFS('boc xe'!AA$2:AA$27,'boc xe'!$B$2:$B$27,'chia CN boc xe'!$C60)</f>
        <v>0</v>
      </c>
      <c r="K60" s="419">
        <f>SUMIFS('boc xe'!AB$2:AB$27,'boc xe'!$B$2:$B$27,'chia CN boc xe'!$C60)</f>
        <v>0</v>
      </c>
      <c r="L60" s="419">
        <f>SUMIFS('boc xe'!AC$2:AC$27,'boc xe'!$B$2:$B$27,'chia CN boc xe'!$C60)</f>
        <v>0</v>
      </c>
      <c r="M60" s="419">
        <f>SUMIFS('boc xe'!AD$2:AD$27,'boc xe'!$B$2:$B$27,'chia CN boc xe'!$C60)</f>
        <v>0</v>
      </c>
      <c r="N60" s="419">
        <f>SUMIFS('boc xe'!AE$2:AE$27,'boc xe'!$B$2:$B$27,'chia CN boc xe'!$C60)</f>
        <v>0</v>
      </c>
      <c r="O60" s="419">
        <f>SUMIFS('boc xe'!AF$2:AF$27,'boc xe'!$B$2:$B$27,'chia CN boc xe'!$C60)</f>
        <v>0</v>
      </c>
      <c r="P60" s="419">
        <f>SUMIFS('boc xe'!AG$2:AG$27,'boc xe'!$B$2:$B$27,'chia CN boc xe'!$C60)</f>
        <v>0</v>
      </c>
      <c r="Q60" s="419">
        <f>SUMIFS('boc xe'!AH$2:AH$27,'boc xe'!$B$2:$B$27,'chia CN boc xe'!$C60)</f>
        <v>0</v>
      </c>
      <c r="R60" s="419">
        <f>SUMIFS('boc xe'!AI$2:AI$27,'boc xe'!$B$2:$B$27,'chia CN boc xe'!$C60)</f>
        <v>0</v>
      </c>
      <c r="S60" s="419">
        <f>SUMIFS('boc xe'!AJ$2:AJ$27,'boc xe'!$B$2:$B$27,'chia CN boc xe'!$C60)</f>
        <v>0</v>
      </c>
      <c r="U60" s="254" t="e">
        <f>'BANG LUONG 1'!#REF!</f>
        <v>#REF!</v>
      </c>
      <c r="V60" s="81">
        <f t="shared" si="17"/>
        <v>0</v>
      </c>
      <c r="W60" s="81">
        <f t="shared" si="18"/>
        <v>0</v>
      </c>
      <c r="X60" s="81">
        <f t="shared" si="19"/>
        <v>0</v>
      </c>
      <c r="Y60" s="81">
        <f t="shared" si="20"/>
        <v>0</v>
      </c>
      <c r="Z60" s="81">
        <f t="shared" si="21"/>
        <v>0</v>
      </c>
      <c r="AA60" s="81">
        <f t="shared" si="22"/>
        <v>0</v>
      </c>
      <c r="AB60" s="81">
        <f t="shared" si="23"/>
        <v>0</v>
      </c>
      <c r="AC60" s="81">
        <f t="shared" si="24"/>
        <v>0</v>
      </c>
      <c r="AD60" s="81">
        <f t="shared" si="25"/>
        <v>0</v>
      </c>
      <c r="AE60" s="81">
        <f t="shared" si="26"/>
        <v>0</v>
      </c>
      <c r="AF60" s="81">
        <f t="shared" si="27"/>
        <v>0</v>
      </c>
      <c r="AG60" s="81">
        <f t="shared" si="28"/>
        <v>0</v>
      </c>
      <c r="AH60" s="81">
        <f t="shared" si="29"/>
        <v>0</v>
      </c>
      <c r="AI60" s="81">
        <f t="shared" si="30"/>
        <v>0</v>
      </c>
      <c r="AJ60" s="81">
        <f t="shared" si="31"/>
        <v>0</v>
      </c>
      <c r="AK60" s="81">
        <f t="shared" si="32"/>
        <v>0</v>
      </c>
    </row>
    <row r="61" spans="1:37">
      <c r="A61" s="421">
        <f t="shared" ref="A61:A122" si="33">A60+1</f>
        <v>60</v>
      </c>
      <c r="B61" s="545"/>
      <c r="C61" s="421"/>
      <c r="D61" s="419">
        <f>SUMIFS('boc xe'!U$2:U$27,'boc xe'!$B$2:$B$27,'chia CN boc xe'!$C61)</f>
        <v>0</v>
      </c>
      <c r="E61" s="419">
        <f>SUMIFS('boc xe'!V$2:V$27,'boc xe'!$B$2:$B$27,'chia CN boc xe'!$C61)</f>
        <v>0</v>
      </c>
      <c r="F61" s="419">
        <f>SUMIFS('boc xe'!W$2:W$27,'boc xe'!$B$2:$B$27,'chia CN boc xe'!$C61)</f>
        <v>0</v>
      </c>
      <c r="G61" s="419">
        <f>SUMIFS('boc xe'!X$2:X$27,'boc xe'!$B$2:$B$27,'chia CN boc xe'!$C61)</f>
        <v>0</v>
      </c>
      <c r="H61" s="419">
        <f>SUMIFS('boc xe'!Y$2:Y$27,'boc xe'!$B$2:$B$27,'chia CN boc xe'!$C61)</f>
        <v>0</v>
      </c>
      <c r="I61" s="419">
        <f>SUMIFS('boc xe'!Z$2:Z$27,'boc xe'!$B$2:$B$27,'chia CN boc xe'!$C61)</f>
        <v>0</v>
      </c>
      <c r="J61" s="419">
        <f>SUMIFS('boc xe'!AA$2:AA$27,'boc xe'!$B$2:$B$27,'chia CN boc xe'!$C61)</f>
        <v>0</v>
      </c>
      <c r="K61" s="419">
        <f>SUMIFS('boc xe'!AB$2:AB$27,'boc xe'!$B$2:$B$27,'chia CN boc xe'!$C61)</f>
        <v>0</v>
      </c>
      <c r="L61" s="419">
        <f>SUMIFS('boc xe'!AC$2:AC$27,'boc xe'!$B$2:$B$27,'chia CN boc xe'!$C61)</f>
        <v>0</v>
      </c>
      <c r="M61" s="419">
        <f>SUMIFS('boc xe'!AD$2:AD$27,'boc xe'!$B$2:$B$27,'chia CN boc xe'!$C61)</f>
        <v>0</v>
      </c>
      <c r="N61" s="419">
        <f>SUMIFS('boc xe'!AE$2:AE$27,'boc xe'!$B$2:$B$27,'chia CN boc xe'!$C61)</f>
        <v>0</v>
      </c>
      <c r="O61" s="419">
        <f>SUMIFS('boc xe'!AF$2:AF$27,'boc xe'!$B$2:$B$27,'chia CN boc xe'!$C61)</f>
        <v>0</v>
      </c>
      <c r="P61" s="419">
        <f>SUMIFS('boc xe'!AG$2:AG$27,'boc xe'!$B$2:$B$27,'chia CN boc xe'!$C61)</f>
        <v>0</v>
      </c>
      <c r="Q61" s="419">
        <f>SUMIFS('boc xe'!AH$2:AH$27,'boc xe'!$B$2:$B$27,'chia CN boc xe'!$C61)</f>
        <v>0</v>
      </c>
      <c r="R61" s="419">
        <f>SUMIFS('boc xe'!AI$2:AI$27,'boc xe'!$B$2:$B$27,'chia CN boc xe'!$C61)</f>
        <v>0</v>
      </c>
      <c r="S61" s="419">
        <f>SUMIFS('boc xe'!AJ$2:AJ$27,'boc xe'!$B$2:$B$27,'chia CN boc xe'!$C61)</f>
        <v>0</v>
      </c>
      <c r="U61" s="545" t="e">
        <f>'BANG LUONG 1'!#REF!</f>
        <v>#REF!</v>
      </c>
      <c r="V61" s="81">
        <f t="shared" si="17"/>
        <v>0</v>
      </c>
      <c r="W61" s="81">
        <f t="shared" si="18"/>
        <v>0</v>
      </c>
      <c r="X61" s="81">
        <f t="shared" si="19"/>
        <v>0</v>
      </c>
      <c r="Y61" s="81">
        <f t="shared" si="20"/>
        <v>0</v>
      </c>
      <c r="Z61" s="81">
        <f t="shared" si="21"/>
        <v>0</v>
      </c>
      <c r="AA61" s="81">
        <f t="shared" si="22"/>
        <v>0</v>
      </c>
      <c r="AB61" s="81">
        <f t="shared" si="23"/>
        <v>0</v>
      </c>
      <c r="AC61" s="81">
        <f t="shared" si="24"/>
        <v>0</v>
      </c>
      <c r="AD61" s="81">
        <f t="shared" si="25"/>
        <v>0</v>
      </c>
      <c r="AE61" s="81">
        <f t="shared" si="26"/>
        <v>0</v>
      </c>
      <c r="AF61" s="81">
        <f t="shared" si="27"/>
        <v>0</v>
      </c>
      <c r="AG61" s="81">
        <f t="shared" si="28"/>
        <v>0</v>
      </c>
      <c r="AH61" s="81">
        <f t="shared" si="29"/>
        <v>0</v>
      </c>
      <c r="AI61" s="81">
        <f t="shared" si="30"/>
        <v>0</v>
      </c>
      <c r="AJ61" s="81">
        <f t="shared" si="31"/>
        <v>0</v>
      </c>
      <c r="AK61" s="81">
        <f t="shared" si="32"/>
        <v>0</v>
      </c>
    </row>
    <row r="62" spans="1:37" ht="15.75" customHeight="1">
      <c r="A62" s="421">
        <f t="shared" si="33"/>
        <v>61</v>
      </c>
      <c r="B62" s="545"/>
      <c r="C62" s="421"/>
      <c r="D62" s="419">
        <f>SUMIFS('boc xe'!U$2:U$27,'boc xe'!$B$2:$B$27,'chia CN boc xe'!$C62)</f>
        <v>0</v>
      </c>
      <c r="E62" s="419">
        <f>SUMIFS('boc xe'!V$2:V$27,'boc xe'!$B$2:$B$27,'chia CN boc xe'!$C62)</f>
        <v>0</v>
      </c>
      <c r="F62" s="419">
        <f>SUMIFS('boc xe'!W$2:W$27,'boc xe'!$B$2:$B$27,'chia CN boc xe'!$C62)</f>
        <v>0</v>
      </c>
      <c r="G62" s="419">
        <f>SUMIFS('boc xe'!X$2:X$27,'boc xe'!$B$2:$B$27,'chia CN boc xe'!$C62)</f>
        <v>0</v>
      </c>
      <c r="H62" s="419">
        <f>SUMIFS('boc xe'!Y$2:Y$27,'boc xe'!$B$2:$B$27,'chia CN boc xe'!$C62)</f>
        <v>0</v>
      </c>
      <c r="I62" s="419">
        <f>SUMIFS('boc xe'!Z$2:Z$27,'boc xe'!$B$2:$B$27,'chia CN boc xe'!$C62)</f>
        <v>0</v>
      </c>
      <c r="J62" s="419">
        <f>SUMIFS('boc xe'!AA$2:AA$27,'boc xe'!$B$2:$B$27,'chia CN boc xe'!$C62)</f>
        <v>0</v>
      </c>
      <c r="K62" s="419">
        <f>SUMIFS('boc xe'!AB$2:AB$27,'boc xe'!$B$2:$B$27,'chia CN boc xe'!$C62)</f>
        <v>0</v>
      </c>
      <c r="L62" s="419">
        <f>SUMIFS('boc xe'!AC$2:AC$27,'boc xe'!$B$2:$B$27,'chia CN boc xe'!$C62)</f>
        <v>0</v>
      </c>
      <c r="M62" s="419">
        <f>SUMIFS('boc xe'!AD$2:AD$27,'boc xe'!$B$2:$B$27,'chia CN boc xe'!$C62)</f>
        <v>0</v>
      </c>
      <c r="N62" s="419">
        <f>SUMIFS('boc xe'!AE$2:AE$27,'boc xe'!$B$2:$B$27,'chia CN boc xe'!$C62)</f>
        <v>0</v>
      </c>
      <c r="O62" s="419">
        <f>SUMIFS('boc xe'!AF$2:AF$27,'boc xe'!$B$2:$B$27,'chia CN boc xe'!$C62)</f>
        <v>0</v>
      </c>
      <c r="P62" s="419">
        <f>SUMIFS('boc xe'!AG$2:AG$27,'boc xe'!$B$2:$B$27,'chia CN boc xe'!$C62)</f>
        <v>0</v>
      </c>
      <c r="Q62" s="419">
        <f>SUMIFS('boc xe'!AH$2:AH$27,'boc xe'!$B$2:$B$27,'chia CN boc xe'!$C62)</f>
        <v>0</v>
      </c>
      <c r="R62" s="419">
        <f>SUMIFS('boc xe'!AI$2:AI$27,'boc xe'!$B$2:$B$27,'chia CN boc xe'!$C62)</f>
        <v>0</v>
      </c>
      <c r="S62" s="419">
        <f>SUMIFS('boc xe'!AJ$2:AJ$27,'boc xe'!$B$2:$B$27,'chia CN boc xe'!$C62)</f>
        <v>0</v>
      </c>
      <c r="U62" s="545" t="e">
        <f>'BANG LUONG 1'!#REF!</f>
        <v>#REF!</v>
      </c>
      <c r="V62" s="81">
        <f t="shared" si="17"/>
        <v>0</v>
      </c>
      <c r="W62" s="81">
        <f t="shared" si="18"/>
        <v>0</v>
      </c>
      <c r="X62" s="81">
        <f t="shared" si="19"/>
        <v>0</v>
      </c>
      <c r="Y62" s="81">
        <f t="shared" si="20"/>
        <v>0</v>
      </c>
      <c r="Z62" s="81">
        <f t="shared" si="21"/>
        <v>0</v>
      </c>
      <c r="AA62" s="81">
        <f t="shared" si="22"/>
        <v>0</v>
      </c>
      <c r="AB62" s="81">
        <f t="shared" si="23"/>
        <v>0</v>
      </c>
      <c r="AC62" s="81">
        <f t="shared" si="24"/>
        <v>0</v>
      </c>
      <c r="AD62" s="81">
        <f t="shared" si="25"/>
        <v>0</v>
      </c>
      <c r="AE62" s="81">
        <f t="shared" si="26"/>
        <v>0</v>
      </c>
      <c r="AF62" s="81">
        <f t="shared" si="27"/>
        <v>0</v>
      </c>
      <c r="AG62" s="81">
        <f t="shared" si="28"/>
        <v>0</v>
      </c>
      <c r="AH62" s="81">
        <f t="shared" si="29"/>
        <v>0</v>
      </c>
      <c r="AI62" s="81">
        <f t="shared" si="30"/>
        <v>0</v>
      </c>
      <c r="AJ62" s="81">
        <f t="shared" si="31"/>
        <v>0</v>
      </c>
      <c r="AK62" s="81">
        <f t="shared" si="32"/>
        <v>0</v>
      </c>
    </row>
    <row r="63" spans="1:37" ht="15.75" customHeight="1">
      <c r="A63" s="421">
        <f t="shared" si="33"/>
        <v>62</v>
      </c>
      <c r="B63" s="545"/>
      <c r="C63" s="421"/>
      <c r="D63" s="419">
        <f>SUMIFS('boc xe'!U$2:U$27,'boc xe'!$B$2:$B$27,'chia CN boc xe'!$C63)</f>
        <v>0</v>
      </c>
      <c r="E63" s="419">
        <f>SUMIFS('boc xe'!V$2:V$27,'boc xe'!$B$2:$B$27,'chia CN boc xe'!$C63)</f>
        <v>0</v>
      </c>
      <c r="F63" s="419">
        <f>SUMIFS('boc xe'!W$2:W$27,'boc xe'!$B$2:$B$27,'chia CN boc xe'!$C63)</f>
        <v>0</v>
      </c>
      <c r="G63" s="419">
        <f>SUMIFS('boc xe'!X$2:X$27,'boc xe'!$B$2:$B$27,'chia CN boc xe'!$C63)</f>
        <v>0</v>
      </c>
      <c r="H63" s="419">
        <f>SUMIFS('boc xe'!Y$2:Y$27,'boc xe'!$B$2:$B$27,'chia CN boc xe'!$C63)</f>
        <v>0</v>
      </c>
      <c r="I63" s="419">
        <f>SUMIFS('boc xe'!Z$2:Z$27,'boc xe'!$B$2:$B$27,'chia CN boc xe'!$C63)</f>
        <v>0</v>
      </c>
      <c r="J63" s="419">
        <f>SUMIFS('boc xe'!AA$2:AA$27,'boc xe'!$B$2:$B$27,'chia CN boc xe'!$C63)</f>
        <v>0</v>
      </c>
      <c r="K63" s="419">
        <f>SUMIFS('boc xe'!AB$2:AB$27,'boc xe'!$B$2:$B$27,'chia CN boc xe'!$C63)</f>
        <v>0</v>
      </c>
      <c r="L63" s="419">
        <f>SUMIFS('boc xe'!AC$2:AC$27,'boc xe'!$B$2:$B$27,'chia CN boc xe'!$C63)</f>
        <v>0</v>
      </c>
      <c r="M63" s="419">
        <f>SUMIFS('boc xe'!AD$2:AD$27,'boc xe'!$B$2:$B$27,'chia CN boc xe'!$C63)</f>
        <v>0</v>
      </c>
      <c r="N63" s="419">
        <f>SUMIFS('boc xe'!AE$2:AE$27,'boc xe'!$B$2:$B$27,'chia CN boc xe'!$C63)</f>
        <v>0</v>
      </c>
      <c r="O63" s="419">
        <f>SUMIFS('boc xe'!AF$2:AF$27,'boc xe'!$B$2:$B$27,'chia CN boc xe'!$C63)</f>
        <v>0</v>
      </c>
      <c r="P63" s="419">
        <f>SUMIFS('boc xe'!AG$2:AG$27,'boc xe'!$B$2:$B$27,'chia CN boc xe'!$C63)</f>
        <v>0</v>
      </c>
      <c r="Q63" s="419">
        <f>SUMIFS('boc xe'!AH$2:AH$27,'boc xe'!$B$2:$B$27,'chia CN boc xe'!$C63)</f>
        <v>0</v>
      </c>
      <c r="R63" s="419">
        <f>SUMIFS('boc xe'!AI$2:AI$27,'boc xe'!$B$2:$B$27,'chia CN boc xe'!$C63)</f>
        <v>0</v>
      </c>
      <c r="S63" s="419">
        <f>SUMIFS('boc xe'!AJ$2:AJ$27,'boc xe'!$B$2:$B$27,'chia CN boc xe'!$C63)</f>
        <v>0</v>
      </c>
      <c r="U63" s="545" t="e">
        <f>'BANG LUONG 1'!#REF!</f>
        <v>#REF!</v>
      </c>
      <c r="V63" s="81">
        <f t="shared" si="17"/>
        <v>0</v>
      </c>
      <c r="W63" s="81">
        <f t="shared" si="18"/>
        <v>0</v>
      </c>
      <c r="X63" s="81">
        <f t="shared" si="19"/>
        <v>0</v>
      </c>
      <c r="Y63" s="81">
        <f t="shared" si="20"/>
        <v>0</v>
      </c>
      <c r="Z63" s="81">
        <f t="shared" si="21"/>
        <v>0</v>
      </c>
      <c r="AA63" s="81">
        <f t="shared" si="22"/>
        <v>0</v>
      </c>
      <c r="AB63" s="81">
        <f t="shared" si="23"/>
        <v>0</v>
      </c>
      <c r="AC63" s="81">
        <f t="shared" si="24"/>
        <v>0</v>
      </c>
      <c r="AD63" s="81">
        <f t="shared" si="25"/>
        <v>0</v>
      </c>
      <c r="AE63" s="81">
        <f t="shared" si="26"/>
        <v>0</v>
      </c>
      <c r="AF63" s="81">
        <f t="shared" si="27"/>
        <v>0</v>
      </c>
      <c r="AG63" s="81">
        <f t="shared" si="28"/>
        <v>0</v>
      </c>
      <c r="AH63" s="81">
        <f t="shared" si="29"/>
        <v>0</v>
      </c>
      <c r="AI63" s="81">
        <f t="shared" si="30"/>
        <v>0</v>
      </c>
      <c r="AJ63" s="81">
        <f t="shared" si="31"/>
        <v>0</v>
      </c>
      <c r="AK63" s="81">
        <f t="shared" si="32"/>
        <v>0</v>
      </c>
    </row>
    <row r="64" spans="1:37" ht="15.75" customHeight="1">
      <c r="A64" s="421">
        <f t="shared" si="33"/>
        <v>63</v>
      </c>
      <c r="B64" s="545"/>
      <c r="C64" s="421"/>
      <c r="D64" s="419">
        <f>SUMIFS('boc xe'!U$2:U$27,'boc xe'!$B$2:$B$27,'chia CN boc xe'!$C64)</f>
        <v>0</v>
      </c>
      <c r="E64" s="419">
        <f>SUMIFS('boc xe'!V$2:V$27,'boc xe'!$B$2:$B$27,'chia CN boc xe'!$C64)</f>
        <v>0</v>
      </c>
      <c r="F64" s="419">
        <f>SUMIFS('boc xe'!W$2:W$27,'boc xe'!$B$2:$B$27,'chia CN boc xe'!$C64)</f>
        <v>0</v>
      </c>
      <c r="G64" s="419">
        <f>SUMIFS('boc xe'!X$2:X$27,'boc xe'!$B$2:$B$27,'chia CN boc xe'!$C64)</f>
        <v>0</v>
      </c>
      <c r="H64" s="419">
        <f>SUMIFS('boc xe'!Y$2:Y$27,'boc xe'!$B$2:$B$27,'chia CN boc xe'!$C64)</f>
        <v>0</v>
      </c>
      <c r="I64" s="419">
        <f>SUMIFS('boc xe'!Z$2:Z$27,'boc xe'!$B$2:$B$27,'chia CN boc xe'!$C64)</f>
        <v>0</v>
      </c>
      <c r="J64" s="419">
        <f>SUMIFS('boc xe'!AA$2:AA$27,'boc xe'!$B$2:$B$27,'chia CN boc xe'!$C64)</f>
        <v>0</v>
      </c>
      <c r="K64" s="419">
        <f>SUMIFS('boc xe'!AB$2:AB$27,'boc xe'!$B$2:$B$27,'chia CN boc xe'!$C64)</f>
        <v>0</v>
      </c>
      <c r="L64" s="419">
        <f>SUMIFS('boc xe'!AC$2:AC$27,'boc xe'!$B$2:$B$27,'chia CN boc xe'!$C64)</f>
        <v>0</v>
      </c>
      <c r="M64" s="419">
        <f>SUMIFS('boc xe'!AD$2:AD$27,'boc xe'!$B$2:$B$27,'chia CN boc xe'!$C64)</f>
        <v>0</v>
      </c>
      <c r="N64" s="419">
        <f>SUMIFS('boc xe'!AE$2:AE$27,'boc xe'!$B$2:$B$27,'chia CN boc xe'!$C64)</f>
        <v>0</v>
      </c>
      <c r="O64" s="419">
        <f>SUMIFS('boc xe'!AF$2:AF$27,'boc xe'!$B$2:$B$27,'chia CN boc xe'!$C64)</f>
        <v>0</v>
      </c>
      <c r="P64" s="419">
        <f>SUMIFS('boc xe'!AG$2:AG$27,'boc xe'!$B$2:$B$27,'chia CN boc xe'!$C64)</f>
        <v>0</v>
      </c>
      <c r="Q64" s="419">
        <f>SUMIFS('boc xe'!AH$2:AH$27,'boc xe'!$B$2:$B$27,'chia CN boc xe'!$C64)</f>
        <v>0</v>
      </c>
      <c r="R64" s="419">
        <f>SUMIFS('boc xe'!AI$2:AI$27,'boc xe'!$B$2:$B$27,'chia CN boc xe'!$C64)</f>
        <v>0</v>
      </c>
      <c r="S64" s="419">
        <f>SUMIFS('boc xe'!AJ$2:AJ$27,'boc xe'!$B$2:$B$27,'chia CN boc xe'!$C64)</f>
        <v>0</v>
      </c>
      <c r="U64" s="546" t="e">
        <f>'BANG LUONG 1'!#REF!</f>
        <v>#REF!</v>
      </c>
      <c r="V64" s="81">
        <f t="shared" si="17"/>
        <v>0</v>
      </c>
      <c r="W64" s="81">
        <f t="shared" si="18"/>
        <v>0</v>
      </c>
      <c r="X64" s="81">
        <f t="shared" si="19"/>
        <v>0</v>
      </c>
      <c r="Y64" s="81">
        <f t="shared" si="20"/>
        <v>0</v>
      </c>
      <c r="Z64" s="81">
        <f t="shared" si="21"/>
        <v>0</v>
      </c>
      <c r="AA64" s="81">
        <f t="shared" si="22"/>
        <v>0</v>
      </c>
      <c r="AB64" s="81">
        <f t="shared" si="23"/>
        <v>0</v>
      </c>
      <c r="AC64" s="81">
        <f t="shared" si="24"/>
        <v>0</v>
      </c>
      <c r="AD64" s="81">
        <f t="shared" si="25"/>
        <v>0</v>
      </c>
      <c r="AE64" s="81">
        <f t="shared" si="26"/>
        <v>0</v>
      </c>
      <c r="AF64" s="81">
        <f t="shared" si="27"/>
        <v>0</v>
      </c>
      <c r="AG64" s="81">
        <f t="shared" si="28"/>
        <v>0</v>
      </c>
      <c r="AH64" s="81">
        <f t="shared" si="29"/>
        <v>0</v>
      </c>
      <c r="AI64" s="81">
        <f t="shared" si="30"/>
        <v>0</v>
      </c>
      <c r="AJ64" s="81">
        <f t="shared" si="31"/>
        <v>0</v>
      </c>
      <c r="AK64" s="81">
        <f t="shared" si="32"/>
        <v>0</v>
      </c>
    </row>
    <row r="65" spans="1:37" ht="15.75" customHeight="1">
      <c r="A65" s="421">
        <f t="shared" si="33"/>
        <v>64</v>
      </c>
      <c r="B65" s="545"/>
      <c r="C65" s="421"/>
      <c r="D65" s="419">
        <f>SUMIFS('boc xe'!U$2:U$27,'boc xe'!$B$2:$B$27,'chia CN boc xe'!$C65)</f>
        <v>0</v>
      </c>
      <c r="E65" s="419">
        <f>SUMIFS('boc xe'!V$2:V$27,'boc xe'!$B$2:$B$27,'chia CN boc xe'!$C65)</f>
        <v>0</v>
      </c>
      <c r="F65" s="419">
        <f>SUMIFS('boc xe'!W$2:W$27,'boc xe'!$B$2:$B$27,'chia CN boc xe'!$C65)</f>
        <v>0</v>
      </c>
      <c r="G65" s="419">
        <f>SUMIFS('boc xe'!X$2:X$27,'boc xe'!$B$2:$B$27,'chia CN boc xe'!$C65)</f>
        <v>0</v>
      </c>
      <c r="H65" s="419">
        <f>SUMIFS('boc xe'!Y$2:Y$27,'boc xe'!$B$2:$B$27,'chia CN boc xe'!$C65)</f>
        <v>0</v>
      </c>
      <c r="I65" s="419">
        <f>SUMIFS('boc xe'!Z$2:Z$27,'boc xe'!$B$2:$B$27,'chia CN boc xe'!$C65)</f>
        <v>0</v>
      </c>
      <c r="J65" s="419">
        <f>SUMIFS('boc xe'!AA$2:AA$27,'boc xe'!$B$2:$B$27,'chia CN boc xe'!$C65)</f>
        <v>0</v>
      </c>
      <c r="K65" s="419">
        <f>SUMIFS('boc xe'!AB$2:AB$27,'boc xe'!$B$2:$B$27,'chia CN boc xe'!$C65)</f>
        <v>0</v>
      </c>
      <c r="L65" s="419">
        <f>SUMIFS('boc xe'!AC$2:AC$27,'boc xe'!$B$2:$B$27,'chia CN boc xe'!$C65)</f>
        <v>0</v>
      </c>
      <c r="M65" s="419">
        <f>SUMIFS('boc xe'!AD$2:AD$27,'boc xe'!$B$2:$B$27,'chia CN boc xe'!$C65)</f>
        <v>0</v>
      </c>
      <c r="N65" s="419">
        <f>SUMIFS('boc xe'!AE$2:AE$27,'boc xe'!$B$2:$B$27,'chia CN boc xe'!$C65)</f>
        <v>0</v>
      </c>
      <c r="O65" s="419">
        <f>SUMIFS('boc xe'!AF$2:AF$27,'boc xe'!$B$2:$B$27,'chia CN boc xe'!$C65)</f>
        <v>0</v>
      </c>
      <c r="P65" s="419">
        <f>SUMIFS('boc xe'!AG$2:AG$27,'boc xe'!$B$2:$B$27,'chia CN boc xe'!$C65)</f>
        <v>0</v>
      </c>
      <c r="Q65" s="419">
        <f>SUMIFS('boc xe'!AH$2:AH$27,'boc xe'!$B$2:$B$27,'chia CN boc xe'!$C65)</f>
        <v>0</v>
      </c>
      <c r="R65" s="419">
        <f>SUMIFS('boc xe'!AI$2:AI$27,'boc xe'!$B$2:$B$27,'chia CN boc xe'!$C65)</f>
        <v>0</v>
      </c>
      <c r="S65" s="419">
        <f>SUMIFS('boc xe'!AJ$2:AJ$27,'boc xe'!$B$2:$B$27,'chia CN boc xe'!$C65)</f>
        <v>0</v>
      </c>
      <c r="U65" s="545" t="e">
        <f>'BANG LUONG 1'!#REF!</f>
        <v>#REF!</v>
      </c>
      <c r="V65" s="81">
        <f t="shared" si="17"/>
        <v>0</v>
      </c>
      <c r="W65" s="81">
        <f t="shared" si="18"/>
        <v>0</v>
      </c>
      <c r="X65" s="81">
        <f t="shared" si="19"/>
        <v>0</v>
      </c>
      <c r="Y65" s="81">
        <f t="shared" si="20"/>
        <v>0</v>
      </c>
      <c r="Z65" s="81">
        <f t="shared" si="21"/>
        <v>0</v>
      </c>
      <c r="AA65" s="81">
        <f t="shared" si="22"/>
        <v>0</v>
      </c>
      <c r="AB65" s="81">
        <f t="shared" si="23"/>
        <v>0</v>
      </c>
      <c r="AC65" s="81">
        <f t="shared" si="24"/>
        <v>0</v>
      </c>
      <c r="AD65" s="81">
        <f t="shared" si="25"/>
        <v>0</v>
      </c>
      <c r="AE65" s="81">
        <f t="shared" si="26"/>
        <v>0</v>
      </c>
      <c r="AF65" s="81">
        <f t="shared" si="27"/>
        <v>0</v>
      </c>
      <c r="AG65" s="81">
        <f t="shared" si="28"/>
        <v>0</v>
      </c>
      <c r="AH65" s="81">
        <f t="shared" si="29"/>
        <v>0</v>
      </c>
      <c r="AI65" s="81">
        <f t="shared" si="30"/>
        <v>0</v>
      </c>
      <c r="AJ65" s="81">
        <f t="shared" si="31"/>
        <v>0</v>
      </c>
      <c r="AK65" s="81">
        <f t="shared" si="32"/>
        <v>0</v>
      </c>
    </row>
    <row r="66" spans="1:37" ht="15.75" customHeight="1">
      <c r="A66" s="421">
        <f t="shared" si="33"/>
        <v>65</v>
      </c>
      <c r="B66" s="546"/>
      <c r="C66" s="421"/>
      <c r="D66" s="419">
        <f>SUMIFS('boc xe'!U$2:U$27,'boc xe'!$B$2:$B$27,'chia CN boc xe'!$C66)</f>
        <v>0</v>
      </c>
      <c r="E66" s="419">
        <f>SUMIFS('boc xe'!V$2:V$27,'boc xe'!$B$2:$B$27,'chia CN boc xe'!$C66)</f>
        <v>0</v>
      </c>
      <c r="F66" s="419">
        <f>SUMIFS('boc xe'!W$2:W$27,'boc xe'!$B$2:$B$27,'chia CN boc xe'!$C66)</f>
        <v>0</v>
      </c>
      <c r="G66" s="419">
        <f>SUMIFS('boc xe'!X$2:X$27,'boc xe'!$B$2:$B$27,'chia CN boc xe'!$C66)</f>
        <v>0</v>
      </c>
      <c r="H66" s="419">
        <f>SUMIFS('boc xe'!Y$2:Y$27,'boc xe'!$B$2:$B$27,'chia CN boc xe'!$C66)</f>
        <v>0</v>
      </c>
      <c r="I66" s="419">
        <f>SUMIFS('boc xe'!Z$2:Z$27,'boc xe'!$B$2:$B$27,'chia CN boc xe'!$C66)</f>
        <v>0</v>
      </c>
      <c r="J66" s="419">
        <f>SUMIFS('boc xe'!AA$2:AA$27,'boc xe'!$B$2:$B$27,'chia CN boc xe'!$C66)</f>
        <v>0</v>
      </c>
      <c r="K66" s="419">
        <f>SUMIFS('boc xe'!AB$2:AB$27,'boc xe'!$B$2:$B$27,'chia CN boc xe'!$C66)</f>
        <v>0</v>
      </c>
      <c r="L66" s="419">
        <f>SUMIFS('boc xe'!AC$2:AC$27,'boc xe'!$B$2:$B$27,'chia CN boc xe'!$C66)</f>
        <v>0</v>
      </c>
      <c r="M66" s="419">
        <f>SUMIFS('boc xe'!AD$2:AD$27,'boc xe'!$B$2:$B$27,'chia CN boc xe'!$C66)</f>
        <v>0</v>
      </c>
      <c r="N66" s="419">
        <f>SUMIFS('boc xe'!AE$2:AE$27,'boc xe'!$B$2:$B$27,'chia CN boc xe'!$C66)</f>
        <v>0</v>
      </c>
      <c r="O66" s="419">
        <f>SUMIFS('boc xe'!AF$2:AF$27,'boc xe'!$B$2:$B$27,'chia CN boc xe'!$C66)</f>
        <v>0</v>
      </c>
      <c r="P66" s="419">
        <f>SUMIFS('boc xe'!AG$2:AG$27,'boc xe'!$B$2:$B$27,'chia CN boc xe'!$C66)</f>
        <v>0</v>
      </c>
      <c r="Q66" s="419">
        <f>SUMIFS('boc xe'!AH$2:AH$27,'boc xe'!$B$2:$B$27,'chia CN boc xe'!$C66)</f>
        <v>0</v>
      </c>
      <c r="R66" s="419">
        <f>SUMIFS('boc xe'!AI$2:AI$27,'boc xe'!$B$2:$B$27,'chia CN boc xe'!$C66)</f>
        <v>0</v>
      </c>
      <c r="S66" s="419">
        <f>SUMIFS('boc xe'!AJ$2:AJ$27,'boc xe'!$B$2:$B$27,'chia CN boc xe'!$C66)</f>
        <v>0</v>
      </c>
      <c r="U66" s="548" t="e">
        <f>'BANG LUONG 1'!#REF!</f>
        <v>#REF!</v>
      </c>
      <c r="V66" s="81">
        <f t="shared" si="17"/>
        <v>0</v>
      </c>
      <c r="W66" s="81">
        <f t="shared" si="18"/>
        <v>0</v>
      </c>
      <c r="X66" s="81">
        <f t="shared" si="19"/>
        <v>0</v>
      </c>
      <c r="Y66" s="81">
        <f t="shared" si="20"/>
        <v>0</v>
      </c>
      <c r="Z66" s="81">
        <f t="shared" si="21"/>
        <v>0</v>
      </c>
      <c r="AA66" s="81">
        <f t="shared" si="22"/>
        <v>0</v>
      </c>
      <c r="AB66" s="81">
        <f t="shared" si="23"/>
        <v>0</v>
      </c>
      <c r="AC66" s="81">
        <f t="shared" si="24"/>
        <v>0</v>
      </c>
      <c r="AD66" s="81">
        <f t="shared" si="25"/>
        <v>0</v>
      </c>
      <c r="AE66" s="81">
        <f t="shared" si="26"/>
        <v>0</v>
      </c>
      <c r="AF66" s="81">
        <f t="shared" si="27"/>
        <v>0</v>
      </c>
      <c r="AG66" s="81">
        <f t="shared" si="28"/>
        <v>0</v>
      </c>
      <c r="AH66" s="81">
        <f t="shared" si="29"/>
        <v>0</v>
      </c>
      <c r="AI66" s="81">
        <f t="shared" si="30"/>
        <v>0</v>
      </c>
      <c r="AJ66" s="81">
        <f t="shared" si="31"/>
        <v>0</v>
      </c>
      <c r="AK66" s="81">
        <f t="shared" si="32"/>
        <v>0</v>
      </c>
    </row>
    <row r="67" spans="1:37" ht="15.75" customHeight="1">
      <c r="A67" s="421">
        <f t="shared" si="33"/>
        <v>66</v>
      </c>
      <c r="B67" s="546"/>
      <c r="C67" s="421"/>
      <c r="D67" s="419">
        <f>SUMIFS('boc xe'!U$2:U$27,'boc xe'!$B$2:$B$27,'chia CN boc xe'!$C67)</f>
        <v>0</v>
      </c>
      <c r="E67" s="419">
        <f>SUMIFS('boc xe'!V$2:V$27,'boc xe'!$B$2:$B$27,'chia CN boc xe'!$C67)</f>
        <v>0</v>
      </c>
      <c r="F67" s="419">
        <f>SUMIFS('boc xe'!W$2:W$27,'boc xe'!$B$2:$B$27,'chia CN boc xe'!$C67)</f>
        <v>0</v>
      </c>
      <c r="G67" s="419">
        <f>SUMIFS('boc xe'!X$2:X$27,'boc xe'!$B$2:$B$27,'chia CN boc xe'!$C67)</f>
        <v>0</v>
      </c>
      <c r="H67" s="419">
        <f>SUMIFS('boc xe'!Y$2:Y$27,'boc xe'!$B$2:$B$27,'chia CN boc xe'!$C67)</f>
        <v>0</v>
      </c>
      <c r="I67" s="419">
        <f>SUMIFS('boc xe'!Z$2:Z$27,'boc xe'!$B$2:$B$27,'chia CN boc xe'!$C67)</f>
        <v>0</v>
      </c>
      <c r="J67" s="419">
        <f>SUMIFS('boc xe'!AA$2:AA$27,'boc xe'!$B$2:$B$27,'chia CN boc xe'!$C67)</f>
        <v>0</v>
      </c>
      <c r="K67" s="419">
        <f>SUMIFS('boc xe'!AB$2:AB$27,'boc xe'!$B$2:$B$27,'chia CN boc xe'!$C67)</f>
        <v>0</v>
      </c>
      <c r="L67" s="419">
        <f>SUMIFS('boc xe'!AC$2:AC$27,'boc xe'!$B$2:$B$27,'chia CN boc xe'!$C67)</f>
        <v>0</v>
      </c>
      <c r="M67" s="419">
        <f>SUMIFS('boc xe'!AD$2:AD$27,'boc xe'!$B$2:$B$27,'chia CN boc xe'!$C67)</f>
        <v>0</v>
      </c>
      <c r="N67" s="419">
        <f>SUMIFS('boc xe'!AE$2:AE$27,'boc xe'!$B$2:$B$27,'chia CN boc xe'!$C67)</f>
        <v>0</v>
      </c>
      <c r="O67" s="419">
        <f>SUMIFS('boc xe'!AF$2:AF$27,'boc xe'!$B$2:$B$27,'chia CN boc xe'!$C67)</f>
        <v>0</v>
      </c>
      <c r="P67" s="419">
        <f>SUMIFS('boc xe'!AG$2:AG$27,'boc xe'!$B$2:$B$27,'chia CN boc xe'!$C67)</f>
        <v>0</v>
      </c>
      <c r="Q67" s="419">
        <f>SUMIFS('boc xe'!AH$2:AH$27,'boc xe'!$B$2:$B$27,'chia CN boc xe'!$C67)</f>
        <v>0</v>
      </c>
      <c r="R67" s="419">
        <f>SUMIFS('boc xe'!AI$2:AI$27,'boc xe'!$B$2:$B$27,'chia CN boc xe'!$C67)</f>
        <v>0</v>
      </c>
      <c r="S67" s="419">
        <f>SUMIFS('boc xe'!AJ$2:AJ$27,'boc xe'!$B$2:$B$27,'chia CN boc xe'!$C67)</f>
        <v>0</v>
      </c>
      <c r="U67" s="545" t="e">
        <f>'BANG LUONG 1'!#REF!</f>
        <v>#REF!</v>
      </c>
      <c r="V67" s="81">
        <f t="shared" ref="V67:V72" si="34">SUMIF($B$3:$B$131,$U67,D$3:D$131)</f>
        <v>0</v>
      </c>
      <c r="W67" s="81">
        <f t="shared" ref="W67:W72" si="35">SUMIF($B$3:$B$131,$U67,E$3:E$131)</f>
        <v>0</v>
      </c>
      <c r="X67" s="81">
        <f t="shared" ref="X67:X72" si="36">SUMIF($B$3:$B$131,$U67,F$3:F$131)</f>
        <v>0</v>
      </c>
      <c r="Y67" s="81">
        <f t="shared" ref="Y67:Y72" si="37">SUMIF($B$3:$B$131,$U67,G$3:G$131)</f>
        <v>0</v>
      </c>
      <c r="Z67" s="81">
        <f t="shared" ref="Z67:Z72" si="38">SUMIF($B$3:$B$131,$U67,H$3:H$131)</f>
        <v>0</v>
      </c>
      <c r="AA67" s="81">
        <f t="shared" ref="AA67:AA72" si="39">SUMIF($B$3:$B$131,$U67,I$3:I$131)</f>
        <v>0</v>
      </c>
      <c r="AB67" s="81">
        <f t="shared" ref="AB67:AB72" si="40">SUMIF($B$3:$B$131,$U67,J$3:J$131)</f>
        <v>0</v>
      </c>
      <c r="AC67" s="81">
        <f t="shared" ref="AC67:AC72" si="41">SUMIF($B$3:$B$131,$U67,K$3:K$131)</f>
        <v>0</v>
      </c>
      <c r="AD67" s="81">
        <f t="shared" ref="AD67:AD72" si="42">SUMIF($B$3:$B$131,$U67,L$3:L$131)</f>
        <v>0</v>
      </c>
      <c r="AE67" s="81">
        <f t="shared" ref="AE67:AE72" si="43">SUMIF($B$3:$B$131,$U67,M$3:M$131)</f>
        <v>0</v>
      </c>
      <c r="AF67" s="81">
        <f t="shared" ref="AF67:AF72" si="44">SUMIF($B$3:$B$131,$U67,N$3:N$131)</f>
        <v>0</v>
      </c>
      <c r="AG67" s="81">
        <f t="shared" ref="AG67:AG72" si="45">SUMIF($B$3:$B$131,$U67,O$3:O$131)</f>
        <v>0</v>
      </c>
      <c r="AH67" s="81">
        <f t="shared" ref="AH67:AH72" si="46">SUMIF($B$3:$B$131,$U67,P$3:P$131)</f>
        <v>0</v>
      </c>
      <c r="AI67" s="81">
        <f t="shared" ref="AI67:AI72" si="47">SUMIF($B$3:$B$131,$U67,Q$3:Q$131)</f>
        <v>0</v>
      </c>
      <c r="AJ67" s="81">
        <f t="shared" ref="AJ67:AJ72" si="48">SUMIF($B$3:$B$131,$U67,R$3:R$131)</f>
        <v>0</v>
      </c>
      <c r="AK67" s="81">
        <f t="shared" ref="AK67:AK72" si="49">SUMIF($B$3:$B$131,$U67,S$3:S$131)</f>
        <v>0</v>
      </c>
    </row>
    <row r="68" spans="1:37" ht="15.75" customHeight="1">
      <c r="A68" s="421">
        <f t="shared" si="33"/>
        <v>67</v>
      </c>
      <c r="B68" s="546"/>
      <c r="C68" s="421"/>
      <c r="D68" s="419">
        <f>SUMIFS('boc xe'!U$2:U$27,'boc xe'!$B$2:$B$27,'chia CN boc xe'!$C68)</f>
        <v>0</v>
      </c>
      <c r="E68" s="419">
        <f>SUMIFS('boc xe'!V$2:V$27,'boc xe'!$B$2:$B$27,'chia CN boc xe'!$C68)</f>
        <v>0</v>
      </c>
      <c r="F68" s="419">
        <f>SUMIFS('boc xe'!W$2:W$27,'boc xe'!$B$2:$B$27,'chia CN boc xe'!$C68)</f>
        <v>0</v>
      </c>
      <c r="G68" s="419">
        <f>SUMIFS('boc xe'!X$2:X$27,'boc xe'!$B$2:$B$27,'chia CN boc xe'!$C68)</f>
        <v>0</v>
      </c>
      <c r="H68" s="419">
        <f>SUMIFS('boc xe'!Y$2:Y$27,'boc xe'!$B$2:$B$27,'chia CN boc xe'!$C68)</f>
        <v>0</v>
      </c>
      <c r="I68" s="419">
        <f>SUMIFS('boc xe'!Z$2:Z$27,'boc xe'!$B$2:$B$27,'chia CN boc xe'!$C68)</f>
        <v>0</v>
      </c>
      <c r="J68" s="419">
        <f>SUMIFS('boc xe'!AA$2:AA$27,'boc xe'!$B$2:$B$27,'chia CN boc xe'!$C68)</f>
        <v>0</v>
      </c>
      <c r="K68" s="419">
        <f>SUMIFS('boc xe'!AB$2:AB$27,'boc xe'!$B$2:$B$27,'chia CN boc xe'!$C68)</f>
        <v>0</v>
      </c>
      <c r="L68" s="419">
        <f>SUMIFS('boc xe'!AC$2:AC$27,'boc xe'!$B$2:$B$27,'chia CN boc xe'!$C68)</f>
        <v>0</v>
      </c>
      <c r="M68" s="419">
        <f>SUMIFS('boc xe'!AD$2:AD$27,'boc xe'!$B$2:$B$27,'chia CN boc xe'!$C68)</f>
        <v>0</v>
      </c>
      <c r="N68" s="419">
        <f>SUMIFS('boc xe'!AE$2:AE$27,'boc xe'!$B$2:$B$27,'chia CN boc xe'!$C68)</f>
        <v>0</v>
      </c>
      <c r="O68" s="419">
        <f>SUMIFS('boc xe'!AF$2:AF$27,'boc xe'!$B$2:$B$27,'chia CN boc xe'!$C68)</f>
        <v>0</v>
      </c>
      <c r="P68" s="419">
        <f>SUMIFS('boc xe'!AG$2:AG$27,'boc xe'!$B$2:$B$27,'chia CN boc xe'!$C68)</f>
        <v>0</v>
      </c>
      <c r="Q68" s="419">
        <f>SUMIFS('boc xe'!AH$2:AH$27,'boc xe'!$B$2:$B$27,'chia CN boc xe'!$C68)</f>
        <v>0</v>
      </c>
      <c r="R68" s="419">
        <f>SUMIFS('boc xe'!AI$2:AI$27,'boc xe'!$B$2:$B$27,'chia CN boc xe'!$C68)</f>
        <v>0</v>
      </c>
      <c r="S68" s="419">
        <f>SUMIFS('boc xe'!AJ$2:AJ$27,'boc xe'!$B$2:$B$27,'chia CN boc xe'!$C68)</f>
        <v>0</v>
      </c>
      <c r="U68" s="548" t="e">
        <f>'BANG LUONG 1'!#REF!</f>
        <v>#REF!</v>
      </c>
      <c r="V68" s="81">
        <f t="shared" si="34"/>
        <v>0</v>
      </c>
      <c r="W68" s="81">
        <f t="shared" si="35"/>
        <v>0</v>
      </c>
      <c r="X68" s="81">
        <f t="shared" si="36"/>
        <v>0</v>
      </c>
      <c r="Y68" s="81">
        <f t="shared" si="37"/>
        <v>0</v>
      </c>
      <c r="Z68" s="81">
        <f t="shared" si="38"/>
        <v>0</v>
      </c>
      <c r="AA68" s="81">
        <f t="shared" si="39"/>
        <v>0</v>
      </c>
      <c r="AB68" s="81">
        <f t="shared" si="40"/>
        <v>0</v>
      </c>
      <c r="AC68" s="81">
        <f t="shared" si="41"/>
        <v>0</v>
      </c>
      <c r="AD68" s="81">
        <f t="shared" si="42"/>
        <v>0</v>
      </c>
      <c r="AE68" s="81">
        <f t="shared" si="43"/>
        <v>0</v>
      </c>
      <c r="AF68" s="81">
        <f t="shared" si="44"/>
        <v>0</v>
      </c>
      <c r="AG68" s="81">
        <f t="shared" si="45"/>
        <v>0</v>
      </c>
      <c r="AH68" s="81">
        <f t="shared" si="46"/>
        <v>0</v>
      </c>
      <c r="AI68" s="81">
        <f t="shared" si="47"/>
        <v>0</v>
      </c>
      <c r="AJ68" s="81">
        <f t="shared" si="48"/>
        <v>0</v>
      </c>
      <c r="AK68" s="81">
        <f t="shared" si="49"/>
        <v>0</v>
      </c>
    </row>
    <row r="69" spans="1:37" ht="15.75" customHeight="1">
      <c r="A69" s="421">
        <f t="shared" si="33"/>
        <v>68</v>
      </c>
      <c r="B69" s="548"/>
      <c r="C69" s="421"/>
      <c r="D69" s="419">
        <f>SUMIFS('boc xe'!U$2:U$27,'boc xe'!$B$2:$B$27,'chia CN boc xe'!$C69)</f>
        <v>0</v>
      </c>
      <c r="E69" s="419">
        <f>SUMIFS('boc xe'!V$2:V$27,'boc xe'!$B$2:$B$27,'chia CN boc xe'!$C69)</f>
        <v>0</v>
      </c>
      <c r="F69" s="419">
        <f>SUMIFS('boc xe'!W$2:W$27,'boc xe'!$B$2:$B$27,'chia CN boc xe'!$C69)</f>
        <v>0</v>
      </c>
      <c r="G69" s="419">
        <f>SUMIFS('boc xe'!X$2:X$27,'boc xe'!$B$2:$B$27,'chia CN boc xe'!$C69)</f>
        <v>0</v>
      </c>
      <c r="H69" s="419">
        <f>SUMIFS('boc xe'!Y$2:Y$27,'boc xe'!$B$2:$B$27,'chia CN boc xe'!$C69)</f>
        <v>0</v>
      </c>
      <c r="I69" s="419">
        <f>SUMIFS('boc xe'!Z$2:Z$27,'boc xe'!$B$2:$B$27,'chia CN boc xe'!$C69)</f>
        <v>0</v>
      </c>
      <c r="J69" s="419">
        <f>SUMIFS('boc xe'!AA$2:AA$27,'boc xe'!$B$2:$B$27,'chia CN boc xe'!$C69)</f>
        <v>0</v>
      </c>
      <c r="K69" s="419">
        <f>SUMIFS('boc xe'!AB$2:AB$27,'boc xe'!$B$2:$B$27,'chia CN boc xe'!$C69)</f>
        <v>0</v>
      </c>
      <c r="L69" s="419">
        <f>SUMIFS('boc xe'!AC$2:AC$27,'boc xe'!$B$2:$B$27,'chia CN boc xe'!$C69)</f>
        <v>0</v>
      </c>
      <c r="M69" s="419">
        <f>SUMIFS('boc xe'!AD$2:AD$27,'boc xe'!$B$2:$B$27,'chia CN boc xe'!$C69)</f>
        <v>0</v>
      </c>
      <c r="N69" s="419">
        <f>SUMIFS('boc xe'!AE$2:AE$27,'boc xe'!$B$2:$B$27,'chia CN boc xe'!$C69)</f>
        <v>0</v>
      </c>
      <c r="O69" s="419">
        <f>SUMIFS('boc xe'!AF$2:AF$27,'boc xe'!$B$2:$B$27,'chia CN boc xe'!$C69)</f>
        <v>0</v>
      </c>
      <c r="P69" s="419">
        <f>SUMIFS('boc xe'!AG$2:AG$27,'boc xe'!$B$2:$B$27,'chia CN boc xe'!$C69)</f>
        <v>0</v>
      </c>
      <c r="Q69" s="419">
        <f>SUMIFS('boc xe'!AH$2:AH$27,'boc xe'!$B$2:$B$27,'chia CN boc xe'!$C69)</f>
        <v>0</v>
      </c>
      <c r="R69" s="419">
        <f>SUMIFS('boc xe'!AI$2:AI$27,'boc xe'!$B$2:$B$27,'chia CN boc xe'!$C69)</f>
        <v>0</v>
      </c>
      <c r="S69" s="419">
        <f>SUMIFS('boc xe'!AJ$2:AJ$27,'boc xe'!$B$2:$B$27,'chia CN boc xe'!$C69)</f>
        <v>0</v>
      </c>
      <c r="U69" s="548" t="e">
        <f>'BANG LUONG 1'!#REF!</f>
        <v>#REF!</v>
      </c>
      <c r="V69" s="81">
        <f t="shared" si="34"/>
        <v>0</v>
      </c>
      <c r="W69" s="81">
        <f t="shared" si="35"/>
        <v>0</v>
      </c>
      <c r="X69" s="81">
        <f t="shared" si="36"/>
        <v>0</v>
      </c>
      <c r="Y69" s="81">
        <f t="shared" si="37"/>
        <v>0</v>
      </c>
      <c r="Z69" s="81">
        <f t="shared" si="38"/>
        <v>0</v>
      </c>
      <c r="AA69" s="81">
        <f t="shared" si="39"/>
        <v>0</v>
      </c>
      <c r="AB69" s="81">
        <f t="shared" si="40"/>
        <v>0</v>
      </c>
      <c r="AC69" s="81">
        <f t="shared" si="41"/>
        <v>0</v>
      </c>
      <c r="AD69" s="81">
        <f t="shared" si="42"/>
        <v>0</v>
      </c>
      <c r="AE69" s="81">
        <f t="shared" si="43"/>
        <v>0</v>
      </c>
      <c r="AF69" s="81">
        <f t="shared" si="44"/>
        <v>0</v>
      </c>
      <c r="AG69" s="81">
        <f t="shared" si="45"/>
        <v>0</v>
      </c>
      <c r="AH69" s="81">
        <f t="shared" si="46"/>
        <v>0</v>
      </c>
      <c r="AI69" s="81">
        <f t="shared" si="47"/>
        <v>0</v>
      </c>
      <c r="AJ69" s="81">
        <f t="shared" si="48"/>
        <v>0</v>
      </c>
      <c r="AK69" s="81">
        <f t="shared" si="49"/>
        <v>0</v>
      </c>
    </row>
    <row r="70" spans="1:37" ht="15.75" customHeight="1">
      <c r="A70" s="421">
        <f t="shared" si="33"/>
        <v>69</v>
      </c>
      <c r="B70" s="546"/>
      <c r="C70" s="421"/>
      <c r="D70" s="419">
        <f>SUMIFS('boc xe'!U$2:U$27,'boc xe'!$B$2:$B$27,'chia CN boc xe'!$C70)</f>
        <v>0</v>
      </c>
      <c r="E70" s="419">
        <f>SUMIFS('boc xe'!V$2:V$27,'boc xe'!$B$2:$B$27,'chia CN boc xe'!$C70)</f>
        <v>0</v>
      </c>
      <c r="F70" s="419">
        <f>SUMIFS('boc xe'!W$2:W$27,'boc xe'!$B$2:$B$27,'chia CN boc xe'!$C70)</f>
        <v>0</v>
      </c>
      <c r="G70" s="419">
        <f>SUMIFS('boc xe'!X$2:X$27,'boc xe'!$B$2:$B$27,'chia CN boc xe'!$C70)</f>
        <v>0</v>
      </c>
      <c r="H70" s="419">
        <f>SUMIFS('boc xe'!Y$2:Y$27,'boc xe'!$B$2:$B$27,'chia CN boc xe'!$C70)</f>
        <v>0</v>
      </c>
      <c r="I70" s="419">
        <f>SUMIFS('boc xe'!Z$2:Z$27,'boc xe'!$B$2:$B$27,'chia CN boc xe'!$C70)</f>
        <v>0</v>
      </c>
      <c r="J70" s="419">
        <f>SUMIFS('boc xe'!AA$2:AA$27,'boc xe'!$B$2:$B$27,'chia CN boc xe'!$C70)</f>
        <v>0</v>
      </c>
      <c r="K70" s="419">
        <f>SUMIFS('boc xe'!AB$2:AB$27,'boc xe'!$B$2:$B$27,'chia CN boc xe'!$C70)</f>
        <v>0</v>
      </c>
      <c r="L70" s="419">
        <f>SUMIFS('boc xe'!AC$2:AC$27,'boc xe'!$B$2:$B$27,'chia CN boc xe'!$C70)</f>
        <v>0</v>
      </c>
      <c r="M70" s="419">
        <f>SUMIFS('boc xe'!AD$2:AD$27,'boc xe'!$B$2:$B$27,'chia CN boc xe'!$C70)</f>
        <v>0</v>
      </c>
      <c r="N70" s="419">
        <f>SUMIFS('boc xe'!AE$2:AE$27,'boc xe'!$B$2:$B$27,'chia CN boc xe'!$C70)</f>
        <v>0</v>
      </c>
      <c r="O70" s="419">
        <f>SUMIFS('boc xe'!AF$2:AF$27,'boc xe'!$B$2:$B$27,'chia CN boc xe'!$C70)</f>
        <v>0</v>
      </c>
      <c r="P70" s="419">
        <f>SUMIFS('boc xe'!AG$2:AG$27,'boc xe'!$B$2:$B$27,'chia CN boc xe'!$C70)</f>
        <v>0</v>
      </c>
      <c r="Q70" s="419">
        <f>SUMIFS('boc xe'!AH$2:AH$27,'boc xe'!$B$2:$B$27,'chia CN boc xe'!$C70)</f>
        <v>0</v>
      </c>
      <c r="R70" s="419">
        <f>SUMIFS('boc xe'!AI$2:AI$27,'boc xe'!$B$2:$B$27,'chia CN boc xe'!$C70)</f>
        <v>0</v>
      </c>
      <c r="S70" s="419">
        <f>SUMIFS('boc xe'!AJ$2:AJ$27,'boc xe'!$B$2:$B$27,'chia CN boc xe'!$C70)</f>
        <v>0</v>
      </c>
      <c r="U70" s="545" t="e">
        <f>'BANG LUONG 1'!#REF!</f>
        <v>#REF!</v>
      </c>
      <c r="V70" s="81">
        <f t="shared" si="34"/>
        <v>0</v>
      </c>
      <c r="W70" s="81">
        <f t="shared" si="35"/>
        <v>0</v>
      </c>
      <c r="X70" s="81">
        <f t="shared" si="36"/>
        <v>0</v>
      </c>
      <c r="Y70" s="81">
        <f t="shared" si="37"/>
        <v>0</v>
      </c>
      <c r="Z70" s="81">
        <f t="shared" si="38"/>
        <v>0</v>
      </c>
      <c r="AA70" s="81">
        <f t="shared" si="39"/>
        <v>0</v>
      </c>
      <c r="AB70" s="81">
        <f t="shared" si="40"/>
        <v>0</v>
      </c>
      <c r="AC70" s="81">
        <f t="shared" si="41"/>
        <v>0</v>
      </c>
      <c r="AD70" s="81">
        <f t="shared" si="42"/>
        <v>0</v>
      </c>
      <c r="AE70" s="81">
        <f t="shared" si="43"/>
        <v>0</v>
      </c>
      <c r="AF70" s="81">
        <f t="shared" si="44"/>
        <v>0</v>
      </c>
      <c r="AG70" s="81">
        <f t="shared" si="45"/>
        <v>0</v>
      </c>
      <c r="AH70" s="81">
        <f t="shared" si="46"/>
        <v>0</v>
      </c>
      <c r="AI70" s="81">
        <f t="shared" si="47"/>
        <v>0</v>
      </c>
      <c r="AJ70" s="81">
        <f t="shared" si="48"/>
        <v>0</v>
      </c>
      <c r="AK70" s="81">
        <f t="shared" si="49"/>
        <v>0</v>
      </c>
    </row>
    <row r="71" spans="1:37" ht="15.75" customHeight="1">
      <c r="A71" s="421">
        <f t="shared" si="33"/>
        <v>70</v>
      </c>
      <c r="B71" s="546"/>
      <c r="C71" s="421"/>
      <c r="D71" s="419">
        <f>SUMIFS('boc xe'!U$2:U$27,'boc xe'!$B$2:$B$27,'chia CN boc xe'!$C71)</f>
        <v>0</v>
      </c>
      <c r="E71" s="419">
        <f>SUMIFS('boc xe'!V$2:V$27,'boc xe'!$B$2:$B$27,'chia CN boc xe'!$C71)</f>
        <v>0</v>
      </c>
      <c r="F71" s="419">
        <f>SUMIFS('boc xe'!W$2:W$27,'boc xe'!$B$2:$B$27,'chia CN boc xe'!$C71)</f>
        <v>0</v>
      </c>
      <c r="G71" s="419">
        <f>SUMIFS('boc xe'!X$2:X$27,'boc xe'!$B$2:$B$27,'chia CN boc xe'!$C71)</f>
        <v>0</v>
      </c>
      <c r="H71" s="419">
        <f>SUMIFS('boc xe'!Y$2:Y$27,'boc xe'!$B$2:$B$27,'chia CN boc xe'!$C71)</f>
        <v>0</v>
      </c>
      <c r="I71" s="419">
        <f>SUMIFS('boc xe'!Z$2:Z$27,'boc xe'!$B$2:$B$27,'chia CN boc xe'!$C71)</f>
        <v>0</v>
      </c>
      <c r="J71" s="419">
        <f>SUMIFS('boc xe'!AA$2:AA$27,'boc xe'!$B$2:$B$27,'chia CN boc xe'!$C71)</f>
        <v>0</v>
      </c>
      <c r="K71" s="419">
        <f>SUMIFS('boc xe'!AB$2:AB$27,'boc xe'!$B$2:$B$27,'chia CN boc xe'!$C71)</f>
        <v>0</v>
      </c>
      <c r="L71" s="419">
        <f>SUMIFS('boc xe'!AC$2:AC$27,'boc xe'!$B$2:$B$27,'chia CN boc xe'!$C71)</f>
        <v>0</v>
      </c>
      <c r="M71" s="419">
        <f>SUMIFS('boc xe'!AD$2:AD$27,'boc xe'!$B$2:$B$27,'chia CN boc xe'!$C71)</f>
        <v>0</v>
      </c>
      <c r="N71" s="419">
        <f>SUMIFS('boc xe'!AE$2:AE$27,'boc xe'!$B$2:$B$27,'chia CN boc xe'!$C71)</f>
        <v>0</v>
      </c>
      <c r="O71" s="419">
        <f>SUMIFS('boc xe'!AF$2:AF$27,'boc xe'!$B$2:$B$27,'chia CN boc xe'!$C71)</f>
        <v>0</v>
      </c>
      <c r="P71" s="419">
        <f>SUMIFS('boc xe'!AG$2:AG$27,'boc xe'!$B$2:$B$27,'chia CN boc xe'!$C71)</f>
        <v>0</v>
      </c>
      <c r="Q71" s="419">
        <f>SUMIFS('boc xe'!AH$2:AH$27,'boc xe'!$B$2:$B$27,'chia CN boc xe'!$C71)</f>
        <v>0</v>
      </c>
      <c r="R71" s="419">
        <f>SUMIFS('boc xe'!AI$2:AI$27,'boc xe'!$B$2:$B$27,'chia CN boc xe'!$C71)</f>
        <v>0</v>
      </c>
      <c r="S71" s="419">
        <f>SUMIFS('boc xe'!AJ$2:AJ$27,'boc xe'!$B$2:$B$27,'chia CN boc xe'!$C71)</f>
        <v>0</v>
      </c>
      <c r="U71" s="548" t="e">
        <f>'BANG LUONG 1'!#REF!</f>
        <v>#REF!</v>
      </c>
      <c r="V71" s="81">
        <f t="shared" si="34"/>
        <v>0</v>
      </c>
      <c r="W71" s="81">
        <f t="shared" si="35"/>
        <v>0</v>
      </c>
      <c r="X71" s="81">
        <f t="shared" si="36"/>
        <v>0</v>
      </c>
      <c r="Y71" s="81">
        <f t="shared" si="37"/>
        <v>0</v>
      </c>
      <c r="Z71" s="81">
        <f t="shared" si="38"/>
        <v>0</v>
      </c>
      <c r="AA71" s="81">
        <f t="shared" si="39"/>
        <v>0</v>
      </c>
      <c r="AB71" s="81">
        <f t="shared" si="40"/>
        <v>0</v>
      </c>
      <c r="AC71" s="81">
        <f t="shared" si="41"/>
        <v>0</v>
      </c>
      <c r="AD71" s="81">
        <f t="shared" si="42"/>
        <v>0</v>
      </c>
      <c r="AE71" s="81">
        <f t="shared" si="43"/>
        <v>0</v>
      </c>
      <c r="AF71" s="81">
        <f t="shared" si="44"/>
        <v>0</v>
      </c>
      <c r="AG71" s="81">
        <f t="shared" si="45"/>
        <v>0</v>
      </c>
      <c r="AH71" s="81">
        <f t="shared" si="46"/>
        <v>0</v>
      </c>
      <c r="AI71" s="81">
        <f t="shared" si="47"/>
        <v>0</v>
      </c>
      <c r="AJ71" s="81">
        <f t="shared" si="48"/>
        <v>0</v>
      </c>
      <c r="AK71" s="81">
        <f t="shared" si="49"/>
        <v>0</v>
      </c>
    </row>
    <row r="72" spans="1:37" ht="15.75" customHeight="1">
      <c r="A72" s="421">
        <f t="shared" si="33"/>
        <v>71</v>
      </c>
      <c r="B72" s="546"/>
      <c r="C72" s="421"/>
      <c r="D72" s="419">
        <f>SUMIFS('boc xe'!U$2:U$27,'boc xe'!$B$2:$B$27,'chia CN boc xe'!$C72)</f>
        <v>0</v>
      </c>
      <c r="E72" s="419">
        <f>SUMIFS('boc xe'!V$2:V$27,'boc xe'!$B$2:$B$27,'chia CN boc xe'!$C72)</f>
        <v>0</v>
      </c>
      <c r="F72" s="419">
        <f>SUMIFS('boc xe'!W$2:W$27,'boc xe'!$B$2:$B$27,'chia CN boc xe'!$C72)</f>
        <v>0</v>
      </c>
      <c r="G72" s="419">
        <f>SUMIFS('boc xe'!X$2:X$27,'boc xe'!$B$2:$B$27,'chia CN boc xe'!$C72)</f>
        <v>0</v>
      </c>
      <c r="H72" s="419">
        <f>SUMIFS('boc xe'!Y$2:Y$27,'boc xe'!$B$2:$B$27,'chia CN boc xe'!$C72)</f>
        <v>0</v>
      </c>
      <c r="I72" s="419">
        <f>SUMIFS('boc xe'!Z$2:Z$27,'boc xe'!$B$2:$B$27,'chia CN boc xe'!$C72)</f>
        <v>0</v>
      </c>
      <c r="J72" s="419">
        <f>SUMIFS('boc xe'!AA$2:AA$27,'boc xe'!$B$2:$B$27,'chia CN boc xe'!$C72)</f>
        <v>0</v>
      </c>
      <c r="K72" s="419">
        <f>SUMIFS('boc xe'!AB$2:AB$27,'boc xe'!$B$2:$B$27,'chia CN boc xe'!$C72)</f>
        <v>0</v>
      </c>
      <c r="L72" s="419">
        <f>SUMIFS('boc xe'!AC$2:AC$27,'boc xe'!$B$2:$B$27,'chia CN boc xe'!$C72)</f>
        <v>0</v>
      </c>
      <c r="M72" s="419">
        <f>SUMIFS('boc xe'!AD$2:AD$27,'boc xe'!$B$2:$B$27,'chia CN boc xe'!$C72)</f>
        <v>0</v>
      </c>
      <c r="N72" s="419">
        <f>SUMIFS('boc xe'!AE$2:AE$27,'boc xe'!$B$2:$B$27,'chia CN boc xe'!$C72)</f>
        <v>0</v>
      </c>
      <c r="O72" s="419">
        <f>SUMIFS('boc xe'!AF$2:AF$27,'boc xe'!$B$2:$B$27,'chia CN boc xe'!$C72)</f>
        <v>0</v>
      </c>
      <c r="P72" s="419">
        <f>SUMIFS('boc xe'!AG$2:AG$27,'boc xe'!$B$2:$B$27,'chia CN boc xe'!$C72)</f>
        <v>0</v>
      </c>
      <c r="Q72" s="419">
        <f>SUMIFS('boc xe'!AH$2:AH$27,'boc xe'!$B$2:$B$27,'chia CN boc xe'!$C72)</f>
        <v>0</v>
      </c>
      <c r="R72" s="419">
        <f>SUMIFS('boc xe'!AI$2:AI$27,'boc xe'!$B$2:$B$27,'chia CN boc xe'!$C72)</f>
        <v>0</v>
      </c>
      <c r="S72" s="419">
        <f>SUMIFS('boc xe'!AJ$2:AJ$27,'boc xe'!$B$2:$B$27,'chia CN boc xe'!$C72)</f>
        <v>0</v>
      </c>
      <c r="U72" s="545" t="str">
        <f>'BANG LUONG 1'!C33</f>
        <v>Hà Thanh Truyền</v>
      </c>
      <c r="V72" s="81">
        <f t="shared" si="34"/>
        <v>0</v>
      </c>
      <c r="W72" s="81">
        <f t="shared" si="35"/>
        <v>0</v>
      </c>
      <c r="X72" s="81">
        <f t="shared" si="36"/>
        <v>0</v>
      </c>
      <c r="Y72" s="81">
        <f t="shared" si="37"/>
        <v>0</v>
      </c>
      <c r="Z72" s="81">
        <f t="shared" si="38"/>
        <v>0</v>
      </c>
      <c r="AA72" s="81">
        <f t="shared" si="39"/>
        <v>0</v>
      </c>
      <c r="AB72" s="81">
        <f t="shared" si="40"/>
        <v>0</v>
      </c>
      <c r="AC72" s="81">
        <f t="shared" si="41"/>
        <v>0</v>
      </c>
      <c r="AD72" s="81">
        <f t="shared" si="42"/>
        <v>0</v>
      </c>
      <c r="AE72" s="81">
        <f t="shared" si="43"/>
        <v>0</v>
      </c>
      <c r="AF72" s="81">
        <f t="shared" si="44"/>
        <v>0</v>
      </c>
      <c r="AG72" s="81">
        <f t="shared" si="45"/>
        <v>0</v>
      </c>
      <c r="AH72" s="81">
        <f t="shared" si="46"/>
        <v>0</v>
      </c>
      <c r="AI72" s="81">
        <f t="shared" si="47"/>
        <v>0</v>
      </c>
      <c r="AJ72" s="81">
        <f t="shared" si="48"/>
        <v>0</v>
      </c>
      <c r="AK72" s="81">
        <f t="shared" si="49"/>
        <v>0</v>
      </c>
    </row>
    <row r="73" spans="1:37" ht="15.75" customHeight="1">
      <c r="A73" s="421">
        <f t="shared" si="33"/>
        <v>72</v>
      </c>
      <c r="B73" s="546"/>
      <c r="C73" s="421"/>
      <c r="D73" s="419">
        <f>SUMIFS('boc xe'!U$2:U$27,'boc xe'!$B$2:$B$27,'chia CN boc xe'!$C73)</f>
        <v>0</v>
      </c>
      <c r="E73" s="419">
        <f>SUMIFS('boc xe'!V$2:V$27,'boc xe'!$B$2:$B$27,'chia CN boc xe'!$C73)</f>
        <v>0</v>
      </c>
      <c r="F73" s="419">
        <f>SUMIFS('boc xe'!W$2:W$27,'boc xe'!$B$2:$B$27,'chia CN boc xe'!$C73)</f>
        <v>0</v>
      </c>
      <c r="G73" s="419">
        <f>SUMIFS('boc xe'!X$2:X$27,'boc xe'!$B$2:$B$27,'chia CN boc xe'!$C73)</f>
        <v>0</v>
      </c>
      <c r="H73" s="419">
        <f>SUMIFS('boc xe'!Y$2:Y$27,'boc xe'!$B$2:$B$27,'chia CN boc xe'!$C73)</f>
        <v>0</v>
      </c>
      <c r="I73" s="419">
        <f>SUMIFS('boc xe'!Z$2:Z$27,'boc xe'!$B$2:$B$27,'chia CN boc xe'!$C73)</f>
        <v>0</v>
      </c>
      <c r="J73" s="419">
        <f>SUMIFS('boc xe'!AA$2:AA$27,'boc xe'!$B$2:$B$27,'chia CN boc xe'!$C73)</f>
        <v>0</v>
      </c>
      <c r="K73" s="419">
        <f>SUMIFS('boc xe'!AB$2:AB$27,'boc xe'!$B$2:$B$27,'chia CN boc xe'!$C73)</f>
        <v>0</v>
      </c>
      <c r="L73" s="419">
        <f>SUMIFS('boc xe'!AC$2:AC$27,'boc xe'!$B$2:$B$27,'chia CN boc xe'!$C73)</f>
        <v>0</v>
      </c>
      <c r="M73" s="419">
        <f>SUMIFS('boc xe'!AD$2:AD$27,'boc xe'!$B$2:$B$27,'chia CN boc xe'!$C73)</f>
        <v>0</v>
      </c>
      <c r="N73" s="419">
        <f>SUMIFS('boc xe'!AE$2:AE$27,'boc xe'!$B$2:$B$27,'chia CN boc xe'!$C73)</f>
        <v>0</v>
      </c>
      <c r="O73" s="419">
        <f>SUMIFS('boc xe'!AF$2:AF$27,'boc xe'!$B$2:$B$27,'chia CN boc xe'!$C73)</f>
        <v>0</v>
      </c>
      <c r="P73" s="419">
        <f>SUMIFS('boc xe'!AG$2:AG$27,'boc xe'!$B$2:$B$27,'chia CN boc xe'!$C73)</f>
        <v>0</v>
      </c>
      <c r="Q73" s="419">
        <f>SUMIFS('boc xe'!AH$2:AH$27,'boc xe'!$B$2:$B$27,'chia CN boc xe'!$C73)</f>
        <v>0</v>
      </c>
      <c r="R73" s="419">
        <f>SUMIFS('boc xe'!AI$2:AI$27,'boc xe'!$B$2:$B$27,'chia CN boc xe'!$C73)</f>
        <v>0</v>
      </c>
      <c r="S73" s="419">
        <f>SUMIFS('boc xe'!AJ$2:AJ$27,'boc xe'!$B$2:$B$27,'chia CN boc xe'!$C73)</f>
        <v>0</v>
      </c>
    </row>
    <row r="74" spans="1:37" ht="15.75" customHeight="1">
      <c r="A74" s="421">
        <f t="shared" si="33"/>
        <v>73</v>
      </c>
      <c r="B74" s="546"/>
      <c r="C74" s="421"/>
      <c r="D74" s="419">
        <f>SUMIFS('boc xe'!U$2:U$27,'boc xe'!$B$2:$B$27,'chia CN boc xe'!$C74)</f>
        <v>0</v>
      </c>
      <c r="E74" s="419">
        <f>SUMIFS('boc xe'!V$2:V$27,'boc xe'!$B$2:$B$27,'chia CN boc xe'!$C74)</f>
        <v>0</v>
      </c>
      <c r="F74" s="419">
        <f>SUMIFS('boc xe'!W$2:W$27,'boc xe'!$B$2:$B$27,'chia CN boc xe'!$C74)</f>
        <v>0</v>
      </c>
      <c r="G74" s="419">
        <f>SUMIFS('boc xe'!X$2:X$27,'boc xe'!$B$2:$B$27,'chia CN boc xe'!$C74)</f>
        <v>0</v>
      </c>
      <c r="H74" s="419">
        <f>SUMIFS('boc xe'!Y$2:Y$27,'boc xe'!$B$2:$B$27,'chia CN boc xe'!$C74)</f>
        <v>0</v>
      </c>
      <c r="I74" s="419">
        <f>SUMIFS('boc xe'!Z$2:Z$27,'boc xe'!$B$2:$B$27,'chia CN boc xe'!$C74)</f>
        <v>0</v>
      </c>
      <c r="J74" s="419">
        <f>SUMIFS('boc xe'!AA$2:AA$27,'boc xe'!$B$2:$B$27,'chia CN boc xe'!$C74)</f>
        <v>0</v>
      </c>
      <c r="K74" s="419">
        <f>SUMIFS('boc xe'!AB$2:AB$27,'boc xe'!$B$2:$B$27,'chia CN boc xe'!$C74)</f>
        <v>0</v>
      </c>
      <c r="L74" s="419">
        <f>SUMIFS('boc xe'!AC$2:AC$27,'boc xe'!$B$2:$B$27,'chia CN boc xe'!$C74)</f>
        <v>0</v>
      </c>
      <c r="M74" s="419">
        <f>SUMIFS('boc xe'!AD$2:AD$27,'boc xe'!$B$2:$B$27,'chia CN boc xe'!$C74)</f>
        <v>0</v>
      </c>
      <c r="N74" s="419">
        <f>SUMIFS('boc xe'!AE$2:AE$27,'boc xe'!$B$2:$B$27,'chia CN boc xe'!$C74)</f>
        <v>0</v>
      </c>
      <c r="O74" s="419">
        <f>SUMIFS('boc xe'!AF$2:AF$27,'boc xe'!$B$2:$B$27,'chia CN boc xe'!$C74)</f>
        <v>0</v>
      </c>
      <c r="P74" s="419">
        <f>SUMIFS('boc xe'!AG$2:AG$27,'boc xe'!$B$2:$B$27,'chia CN boc xe'!$C74)</f>
        <v>0</v>
      </c>
      <c r="Q74" s="419">
        <f>SUMIFS('boc xe'!AH$2:AH$27,'boc xe'!$B$2:$B$27,'chia CN boc xe'!$C74)</f>
        <v>0</v>
      </c>
      <c r="R74" s="419">
        <f>SUMIFS('boc xe'!AI$2:AI$27,'boc xe'!$B$2:$B$27,'chia CN boc xe'!$C74)</f>
        <v>0</v>
      </c>
      <c r="S74" s="419">
        <f>SUMIFS('boc xe'!AJ$2:AJ$27,'boc xe'!$B$2:$B$27,'chia CN boc xe'!$C74)</f>
        <v>0</v>
      </c>
    </row>
    <row r="75" spans="1:37" ht="15.75" customHeight="1">
      <c r="A75" s="421">
        <f t="shared" si="33"/>
        <v>74</v>
      </c>
      <c r="B75" s="546"/>
      <c r="C75" s="421"/>
      <c r="D75" s="419">
        <f>SUMIFS('boc xe'!U$2:U$27,'boc xe'!$B$2:$B$27,'chia CN boc xe'!$C75)</f>
        <v>0</v>
      </c>
      <c r="E75" s="419">
        <f>SUMIFS('boc xe'!V$2:V$27,'boc xe'!$B$2:$B$27,'chia CN boc xe'!$C75)</f>
        <v>0</v>
      </c>
      <c r="F75" s="419">
        <f>SUMIFS('boc xe'!W$2:W$27,'boc xe'!$B$2:$B$27,'chia CN boc xe'!$C75)</f>
        <v>0</v>
      </c>
      <c r="G75" s="419">
        <f>SUMIFS('boc xe'!X$2:X$27,'boc xe'!$B$2:$B$27,'chia CN boc xe'!$C75)</f>
        <v>0</v>
      </c>
      <c r="H75" s="419">
        <f>SUMIFS('boc xe'!Y$2:Y$27,'boc xe'!$B$2:$B$27,'chia CN boc xe'!$C75)</f>
        <v>0</v>
      </c>
      <c r="I75" s="419">
        <f>SUMIFS('boc xe'!Z$2:Z$27,'boc xe'!$B$2:$B$27,'chia CN boc xe'!$C75)</f>
        <v>0</v>
      </c>
      <c r="J75" s="419">
        <f>SUMIFS('boc xe'!AA$2:AA$27,'boc xe'!$B$2:$B$27,'chia CN boc xe'!$C75)</f>
        <v>0</v>
      </c>
      <c r="K75" s="419">
        <f>SUMIFS('boc xe'!AB$2:AB$27,'boc xe'!$B$2:$B$27,'chia CN boc xe'!$C75)</f>
        <v>0</v>
      </c>
      <c r="L75" s="419">
        <f>SUMIFS('boc xe'!AC$2:AC$27,'boc xe'!$B$2:$B$27,'chia CN boc xe'!$C75)</f>
        <v>0</v>
      </c>
      <c r="M75" s="419">
        <f>SUMIFS('boc xe'!AD$2:AD$27,'boc xe'!$B$2:$B$27,'chia CN boc xe'!$C75)</f>
        <v>0</v>
      </c>
      <c r="N75" s="419">
        <f>SUMIFS('boc xe'!AE$2:AE$27,'boc xe'!$B$2:$B$27,'chia CN boc xe'!$C75)</f>
        <v>0</v>
      </c>
      <c r="O75" s="419">
        <f>SUMIFS('boc xe'!AF$2:AF$27,'boc xe'!$B$2:$B$27,'chia CN boc xe'!$C75)</f>
        <v>0</v>
      </c>
      <c r="P75" s="419">
        <f>SUMIFS('boc xe'!AG$2:AG$27,'boc xe'!$B$2:$B$27,'chia CN boc xe'!$C75)</f>
        <v>0</v>
      </c>
      <c r="Q75" s="419">
        <f>SUMIFS('boc xe'!AH$2:AH$27,'boc xe'!$B$2:$B$27,'chia CN boc xe'!$C75)</f>
        <v>0</v>
      </c>
      <c r="R75" s="419">
        <f>SUMIFS('boc xe'!AI$2:AI$27,'boc xe'!$B$2:$B$27,'chia CN boc xe'!$C75)</f>
        <v>0</v>
      </c>
      <c r="S75" s="419">
        <f>SUMIFS('boc xe'!AJ$2:AJ$27,'boc xe'!$B$2:$B$27,'chia CN boc xe'!$C75)</f>
        <v>0</v>
      </c>
    </row>
    <row r="76" spans="1:37" ht="15.75" customHeight="1">
      <c r="A76" s="421">
        <f t="shared" si="33"/>
        <v>75</v>
      </c>
      <c r="B76" s="546"/>
      <c r="C76" s="421"/>
      <c r="D76" s="419">
        <f>SUMIFS('boc xe'!U$2:U$27,'boc xe'!$B$2:$B$27,'chia CN boc xe'!$C76)</f>
        <v>0</v>
      </c>
      <c r="E76" s="419">
        <f>SUMIFS('boc xe'!V$2:V$27,'boc xe'!$B$2:$B$27,'chia CN boc xe'!$C76)</f>
        <v>0</v>
      </c>
      <c r="F76" s="419">
        <f>SUMIFS('boc xe'!W$2:W$27,'boc xe'!$B$2:$B$27,'chia CN boc xe'!$C76)</f>
        <v>0</v>
      </c>
      <c r="G76" s="419">
        <f>SUMIFS('boc xe'!X$2:X$27,'boc xe'!$B$2:$B$27,'chia CN boc xe'!$C76)</f>
        <v>0</v>
      </c>
      <c r="H76" s="419">
        <f>SUMIFS('boc xe'!Y$2:Y$27,'boc xe'!$B$2:$B$27,'chia CN boc xe'!$C76)</f>
        <v>0</v>
      </c>
      <c r="I76" s="419">
        <f>SUMIFS('boc xe'!Z$2:Z$27,'boc xe'!$B$2:$B$27,'chia CN boc xe'!$C76)</f>
        <v>0</v>
      </c>
      <c r="J76" s="419">
        <f>SUMIFS('boc xe'!AA$2:AA$27,'boc xe'!$B$2:$B$27,'chia CN boc xe'!$C76)</f>
        <v>0</v>
      </c>
      <c r="K76" s="419">
        <f>SUMIFS('boc xe'!AB$2:AB$27,'boc xe'!$B$2:$B$27,'chia CN boc xe'!$C76)</f>
        <v>0</v>
      </c>
      <c r="L76" s="419">
        <f>SUMIFS('boc xe'!AC$2:AC$27,'boc xe'!$B$2:$B$27,'chia CN boc xe'!$C76)</f>
        <v>0</v>
      </c>
      <c r="M76" s="419">
        <f>SUMIFS('boc xe'!AD$2:AD$27,'boc xe'!$B$2:$B$27,'chia CN boc xe'!$C76)</f>
        <v>0</v>
      </c>
      <c r="N76" s="419">
        <f>SUMIFS('boc xe'!AE$2:AE$27,'boc xe'!$B$2:$B$27,'chia CN boc xe'!$C76)</f>
        <v>0</v>
      </c>
      <c r="O76" s="419">
        <f>SUMIFS('boc xe'!AF$2:AF$27,'boc xe'!$B$2:$B$27,'chia CN boc xe'!$C76)</f>
        <v>0</v>
      </c>
      <c r="P76" s="419">
        <f>SUMIFS('boc xe'!AG$2:AG$27,'boc xe'!$B$2:$B$27,'chia CN boc xe'!$C76)</f>
        <v>0</v>
      </c>
      <c r="Q76" s="419">
        <f>SUMIFS('boc xe'!AH$2:AH$27,'boc xe'!$B$2:$B$27,'chia CN boc xe'!$C76)</f>
        <v>0</v>
      </c>
      <c r="R76" s="419">
        <f>SUMIFS('boc xe'!AI$2:AI$27,'boc xe'!$B$2:$B$27,'chia CN boc xe'!$C76)</f>
        <v>0</v>
      </c>
      <c r="S76" s="419">
        <f>SUMIFS('boc xe'!AJ$2:AJ$27,'boc xe'!$B$2:$B$27,'chia CN boc xe'!$C76)</f>
        <v>0</v>
      </c>
    </row>
    <row r="77" spans="1:37" ht="15.75" customHeight="1">
      <c r="A77" s="421">
        <f t="shared" si="33"/>
        <v>76</v>
      </c>
      <c r="B77" s="548"/>
      <c r="C77" s="421"/>
      <c r="D77" s="419">
        <f>SUMIFS('boc xe'!U$2:U$27,'boc xe'!$B$2:$B$27,'chia CN boc xe'!$C77)</f>
        <v>0</v>
      </c>
      <c r="E77" s="419">
        <f>SUMIFS('boc xe'!V$2:V$27,'boc xe'!$B$2:$B$27,'chia CN boc xe'!$C77)</f>
        <v>0</v>
      </c>
      <c r="F77" s="419">
        <f>SUMIFS('boc xe'!W$2:W$27,'boc xe'!$B$2:$B$27,'chia CN boc xe'!$C77)</f>
        <v>0</v>
      </c>
      <c r="G77" s="419">
        <f>SUMIFS('boc xe'!X$2:X$27,'boc xe'!$B$2:$B$27,'chia CN boc xe'!$C77)</f>
        <v>0</v>
      </c>
      <c r="H77" s="419">
        <f>SUMIFS('boc xe'!Y$2:Y$27,'boc xe'!$B$2:$B$27,'chia CN boc xe'!$C77)</f>
        <v>0</v>
      </c>
      <c r="I77" s="419">
        <f>SUMIFS('boc xe'!Z$2:Z$27,'boc xe'!$B$2:$B$27,'chia CN boc xe'!$C77)</f>
        <v>0</v>
      </c>
      <c r="J77" s="419">
        <f>SUMIFS('boc xe'!AA$2:AA$27,'boc xe'!$B$2:$B$27,'chia CN boc xe'!$C77)</f>
        <v>0</v>
      </c>
      <c r="K77" s="419">
        <f>SUMIFS('boc xe'!AB$2:AB$27,'boc xe'!$B$2:$B$27,'chia CN boc xe'!$C77)</f>
        <v>0</v>
      </c>
      <c r="L77" s="419">
        <f>SUMIFS('boc xe'!AC$2:AC$27,'boc xe'!$B$2:$B$27,'chia CN boc xe'!$C77)</f>
        <v>0</v>
      </c>
      <c r="M77" s="419">
        <f>SUMIFS('boc xe'!AD$2:AD$27,'boc xe'!$B$2:$B$27,'chia CN boc xe'!$C77)</f>
        <v>0</v>
      </c>
      <c r="N77" s="419">
        <f>SUMIFS('boc xe'!AE$2:AE$27,'boc xe'!$B$2:$B$27,'chia CN boc xe'!$C77)</f>
        <v>0</v>
      </c>
      <c r="O77" s="419">
        <f>SUMIFS('boc xe'!AF$2:AF$27,'boc xe'!$B$2:$B$27,'chia CN boc xe'!$C77)</f>
        <v>0</v>
      </c>
      <c r="P77" s="419">
        <f>SUMIFS('boc xe'!AG$2:AG$27,'boc xe'!$B$2:$B$27,'chia CN boc xe'!$C77)</f>
        <v>0</v>
      </c>
      <c r="Q77" s="419">
        <f>SUMIFS('boc xe'!AH$2:AH$27,'boc xe'!$B$2:$B$27,'chia CN boc xe'!$C77)</f>
        <v>0</v>
      </c>
      <c r="R77" s="419">
        <f>SUMIFS('boc xe'!AI$2:AI$27,'boc xe'!$B$2:$B$27,'chia CN boc xe'!$C77)</f>
        <v>0</v>
      </c>
      <c r="S77" s="419">
        <f>SUMIFS('boc xe'!AJ$2:AJ$27,'boc xe'!$B$2:$B$27,'chia CN boc xe'!$C77)</f>
        <v>0</v>
      </c>
    </row>
    <row r="78" spans="1:37" ht="15.75" customHeight="1">
      <c r="A78" s="421">
        <f t="shared" si="33"/>
        <v>77</v>
      </c>
      <c r="B78" s="548"/>
      <c r="C78" s="421"/>
      <c r="D78" s="419">
        <f>SUMIFS('boc xe'!U$2:U$27,'boc xe'!$B$2:$B$27,'chia CN boc xe'!$C78)</f>
        <v>0</v>
      </c>
      <c r="E78" s="419">
        <f>SUMIFS('boc xe'!V$2:V$27,'boc xe'!$B$2:$B$27,'chia CN boc xe'!$C78)</f>
        <v>0</v>
      </c>
      <c r="F78" s="419">
        <f>SUMIFS('boc xe'!W$2:W$27,'boc xe'!$B$2:$B$27,'chia CN boc xe'!$C78)</f>
        <v>0</v>
      </c>
      <c r="G78" s="419">
        <f>SUMIFS('boc xe'!X$2:X$27,'boc xe'!$B$2:$B$27,'chia CN boc xe'!$C78)</f>
        <v>0</v>
      </c>
      <c r="H78" s="419">
        <f>SUMIFS('boc xe'!Y$2:Y$27,'boc xe'!$B$2:$B$27,'chia CN boc xe'!$C78)</f>
        <v>0</v>
      </c>
      <c r="I78" s="419">
        <f>SUMIFS('boc xe'!Z$2:Z$27,'boc xe'!$B$2:$B$27,'chia CN boc xe'!$C78)</f>
        <v>0</v>
      </c>
      <c r="J78" s="419">
        <f>SUMIFS('boc xe'!AA$2:AA$27,'boc xe'!$B$2:$B$27,'chia CN boc xe'!$C78)</f>
        <v>0</v>
      </c>
      <c r="K78" s="419">
        <f>SUMIFS('boc xe'!AB$2:AB$27,'boc xe'!$B$2:$B$27,'chia CN boc xe'!$C78)</f>
        <v>0</v>
      </c>
      <c r="L78" s="419">
        <f>SUMIFS('boc xe'!AC$2:AC$27,'boc xe'!$B$2:$B$27,'chia CN boc xe'!$C78)</f>
        <v>0</v>
      </c>
      <c r="M78" s="419">
        <f>SUMIFS('boc xe'!AD$2:AD$27,'boc xe'!$B$2:$B$27,'chia CN boc xe'!$C78)</f>
        <v>0</v>
      </c>
      <c r="N78" s="419">
        <f>SUMIFS('boc xe'!AE$2:AE$27,'boc xe'!$B$2:$B$27,'chia CN boc xe'!$C78)</f>
        <v>0</v>
      </c>
      <c r="O78" s="419">
        <f>SUMIFS('boc xe'!AF$2:AF$27,'boc xe'!$B$2:$B$27,'chia CN boc xe'!$C78)</f>
        <v>0</v>
      </c>
      <c r="P78" s="419">
        <f>SUMIFS('boc xe'!AG$2:AG$27,'boc xe'!$B$2:$B$27,'chia CN boc xe'!$C78)</f>
        <v>0</v>
      </c>
      <c r="Q78" s="419">
        <f>SUMIFS('boc xe'!AH$2:AH$27,'boc xe'!$B$2:$B$27,'chia CN boc xe'!$C78)</f>
        <v>0</v>
      </c>
      <c r="R78" s="419">
        <f>SUMIFS('boc xe'!AI$2:AI$27,'boc xe'!$B$2:$B$27,'chia CN boc xe'!$C78)</f>
        <v>0</v>
      </c>
      <c r="S78" s="419">
        <f>SUMIFS('boc xe'!AJ$2:AJ$27,'boc xe'!$B$2:$B$27,'chia CN boc xe'!$C78)</f>
        <v>0</v>
      </c>
    </row>
    <row r="79" spans="1:37" ht="15.75" customHeight="1">
      <c r="A79" s="421">
        <f t="shared" si="33"/>
        <v>78</v>
      </c>
      <c r="B79" s="545"/>
      <c r="C79" s="421"/>
      <c r="D79" s="419">
        <f>SUMIFS('boc xe'!U$2:U$27,'boc xe'!$B$2:$B$27,'chia CN boc xe'!$C79)</f>
        <v>0</v>
      </c>
      <c r="E79" s="419">
        <f>SUMIFS('boc xe'!V$2:V$27,'boc xe'!$B$2:$B$27,'chia CN boc xe'!$C79)</f>
        <v>0</v>
      </c>
      <c r="F79" s="419">
        <f>SUMIFS('boc xe'!W$2:W$27,'boc xe'!$B$2:$B$27,'chia CN boc xe'!$C79)</f>
        <v>0</v>
      </c>
      <c r="G79" s="419">
        <f>SUMIFS('boc xe'!X$2:X$27,'boc xe'!$B$2:$B$27,'chia CN boc xe'!$C79)</f>
        <v>0</v>
      </c>
      <c r="H79" s="419">
        <f>SUMIFS('boc xe'!Y$2:Y$27,'boc xe'!$B$2:$B$27,'chia CN boc xe'!$C79)</f>
        <v>0</v>
      </c>
      <c r="I79" s="419">
        <f>SUMIFS('boc xe'!Z$2:Z$27,'boc xe'!$B$2:$B$27,'chia CN boc xe'!$C79)</f>
        <v>0</v>
      </c>
      <c r="J79" s="419">
        <f>SUMIFS('boc xe'!AA$2:AA$27,'boc xe'!$B$2:$B$27,'chia CN boc xe'!$C79)</f>
        <v>0</v>
      </c>
      <c r="K79" s="419">
        <f>SUMIFS('boc xe'!AB$2:AB$27,'boc xe'!$B$2:$B$27,'chia CN boc xe'!$C79)</f>
        <v>0</v>
      </c>
      <c r="L79" s="419">
        <f>SUMIFS('boc xe'!AC$2:AC$27,'boc xe'!$B$2:$B$27,'chia CN boc xe'!$C79)</f>
        <v>0</v>
      </c>
      <c r="M79" s="419">
        <f>SUMIFS('boc xe'!AD$2:AD$27,'boc xe'!$B$2:$B$27,'chia CN boc xe'!$C79)</f>
        <v>0</v>
      </c>
      <c r="N79" s="419">
        <f>SUMIFS('boc xe'!AE$2:AE$27,'boc xe'!$B$2:$B$27,'chia CN boc xe'!$C79)</f>
        <v>0</v>
      </c>
      <c r="O79" s="419">
        <f>SUMIFS('boc xe'!AF$2:AF$27,'boc xe'!$B$2:$B$27,'chia CN boc xe'!$C79)</f>
        <v>0</v>
      </c>
      <c r="P79" s="419">
        <f>SUMIFS('boc xe'!AG$2:AG$27,'boc xe'!$B$2:$B$27,'chia CN boc xe'!$C79)</f>
        <v>0</v>
      </c>
      <c r="Q79" s="419">
        <f>SUMIFS('boc xe'!AH$2:AH$27,'boc xe'!$B$2:$B$27,'chia CN boc xe'!$C79)</f>
        <v>0</v>
      </c>
      <c r="R79" s="419">
        <f>SUMIFS('boc xe'!AI$2:AI$27,'boc xe'!$B$2:$B$27,'chia CN boc xe'!$C79)</f>
        <v>0</v>
      </c>
      <c r="S79" s="419">
        <f>SUMIFS('boc xe'!AJ$2:AJ$27,'boc xe'!$B$2:$B$27,'chia CN boc xe'!$C79)</f>
        <v>0</v>
      </c>
    </row>
    <row r="80" spans="1:37" ht="15.75" customHeight="1">
      <c r="A80" s="421">
        <f t="shared" si="33"/>
        <v>79</v>
      </c>
      <c r="B80" s="545"/>
      <c r="C80" s="421"/>
      <c r="D80" s="419">
        <f>SUMIFS('boc xe'!U$2:U$27,'boc xe'!$B$2:$B$27,'chia CN boc xe'!$C80)</f>
        <v>0</v>
      </c>
      <c r="E80" s="419">
        <f>SUMIFS('boc xe'!V$2:V$27,'boc xe'!$B$2:$B$27,'chia CN boc xe'!$C80)</f>
        <v>0</v>
      </c>
      <c r="F80" s="419">
        <f>SUMIFS('boc xe'!W$2:W$27,'boc xe'!$B$2:$B$27,'chia CN boc xe'!$C80)</f>
        <v>0</v>
      </c>
      <c r="G80" s="419">
        <f>SUMIFS('boc xe'!X$2:X$27,'boc xe'!$B$2:$B$27,'chia CN boc xe'!$C80)</f>
        <v>0</v>
      </c>
      <c r="H80" s="419">
        <f>SUMIFS('boc xe'!Y$2:Y$27,'boc xe'!$B$2:$B$27,'chia CN boc xe'!$C80)</f>
        <v>0</v>
      </c>
      <c r="I80" s="419">
        <f>SUMIFS('boc xe'!Z$2:Z$27,'boc xe'!$B$2:$B$27,'chia CN boc xe'!$C80)</f>
        <v>0</v>
      </c>
      <c r="J80" s="419">
        <f>SUMIFS('boc xe'!AA$2:AA$27,'boc xe'!$B$2:$B$27,'chia CN boc xe'!$C80)</f>
        <v>0</v>
      </c>
      <c r="K80" s="419">
        <f>SUMIFS('boc xe'!AB$2:AB$27,'boc xe'!$B$2:$B$27,'chia CN boc xe'!$C80)</f>
        <v>0</v>
      </c>
      <c r="L80" s="419">
        <f>SUMIFS('boc xe'!AC$2:AC$27,'boc xe'!$B$2:$B$27,'chia CN boc xe'!$C80)</f>
        <v>0</v>
      </c>
      <c r="M80" s="419">
        <f>SUMIFS('boc xe'!AD$2:AD$27,'boc xe'!$B$2:$B$27,'chia CN boc xe'!$C80)</f>
        <v>0</v>
      </c>
      <c r="N80" s="419">
        <f>SUMIFS('boc xe'!AE$2:AE$27,'boc xe'!$B$2:$B$27,'chia CN boc xe'!$C80)</f>
        <v>0</v>
      </c>
      <c r="O80" s="419">
        <f>SUMIFS('boc xe'!AF$2:AF$27,'boc xe'!$B$2:$B$27,'chia CN boc xe'!$C80)</f>
        <v>0</v>
      </c>
      <c r="P80" s="419">
        <f>SUMIFS('boc xe'!AG$2:AG$27,'boc xe'!$B$2:$B$27,'chia CN boc xe'!$C80)</f>
        <v>0</v>
      </c>
      <c r="Q80" s="419">
        <f>SUMIFS('boc xe'!AH$2:AH$27,'boc xe'!$B$2:$B$27,'chia CN boc xe'!$C80)</f>
        <v>0</v>
      </c>
      <c r="R80" s="419">
        <f>SUMIFS('boc xe'!AI$2:AI$27,'boc xe'!$B$2:$B$27,'chia CN boc xe'!$C80)</f>
        <v>0</v>
      </c>
      <c r="S80" s="419">
        <f>SUMIFS('boc xe'!AJ$2:AJ$27,'boc xe'!$B$2:$B$27,'chia CN boc xe'!$C80)</f>
        <v>0</v>
      </c>
    </row>
    <row r="81" spans="1:19" ht="15.75" customHeight="1">
      <c r="A81" s="421">
        <f t="shared" si="33"/>
        <v>80</v>
      </c>
      <c r="B81" s="545"/>
      <c r="C81" s="421"/>
      <c r="D81" s="419">
        <f>SUMIFS('boc xe'!U$2:U$27,'boc xe'!$B$2:$B$27,'chia CN boc xe'!$C81)</f>
        <v>0</v>
      </c>
      <c r="E81" s="419">
        <f>SUMIFS('boc xe'!V$2:V$27,'boc xe'!$B$2:$B$27,'chia CN boc xe'!$C81)</f>
        <v>0</v>
      </c>
      <c r="F81" s="419">
        <f>SUMIFS('boc xe'!W$2:W$27,'boc xe'!$B$2:$B$27,'chia CN boc xe'!$C81)</f>
        <v>0</v>
      </c>
      <c r="G81" s="419">
        <f>SUMIFS('boc xe'!X$2:X$27,'boc xe'!$B$2:$B$27,'chia CN boc xe'!$C81)</f>
        <v>0</v>
      </c>
      <c r="H81" s="419">
        <f>SUMIFS('boc xe'!Y$2:Y$27,'boc xe'!$B$2:$B$27,'chia CN boc xe'!$C81)</f>
        <v>0</v>
      </c>
      <c r="I81" s="419">
        <f>SUMIFS('boc xe'!Z$2:Z$27,'boc xe'!$B$2:$B$27,'chia CN boc xe'!$C81)</f>
        <v>0</v>
      </c>
      <c r="J81" s="419">
        <f>SUMIFS('boc xe'!AA$2:AA$27,'boc xe'!$B$2:$B$27,'chia CN boc xe'!$C81)</f>
        <v>0</v>
      </c>
      <c r="K81" s="419">
        <f>SUMIFS('boc xe'!AB$2:AB$27,'boc xe'!$B$2:$B$27,'chia CN boc xe'!$C81)</f>
        <v>0</v>
      </c>
      <c r="L81" s="419">
        <f>SUMIFS('boc xe'!AC$2:AC$27,'boc xe'!$B$2:$B$27,'chia CN boc xe'!$C81)</f>
        <v>0</v>
      </c>
      <c r="M81" s="419">
        <f>SUMIFS('boc xe'!AD$2:AD$27,'boc xe'!$B$2:$B$27,'chia CN boc xe'!$C81)</f>
        <v>0</v>
      </c>
      <c r="N81" s="419">
        <f>SUMIFS('boc xe'!AE$2:AE$27,'boc xe'!$B$2:$B$27,'chia CN boc xe'!$C81)</f>
        <v>0</v>
      </c>
      <c r="O81" s="419">
        <f>SUMIFS('boc xe'!AF$2:AF$27,'boc xe'!$B$2:$B$27,'chia CN boc xe'!$C81)</f>
        <v>0</v>
      </c>
      <c r="P81" s="419">
        <f>SUMIFS('boc xe'!AG$2:AG$27,'boc xe'!$B$2:$B$27,'chia CN boc xe'!$C81)</f>
        <v>0</v>
      </c>
      <c r="Q81" s="419">
        <f>SUMIFS('boc xe'!AH$2:AH$27,'boc xe'!$B$2:$B$27,'chia CN boc xe'!$C81)</f>
        <v>0</v>
      </c>
      <c r="R81" s="419">
        <f>SUMIFS('boc xe'!AI$2:AI$27,'boc xe'!$B$2:$B$27,'chia CN boc xe'!$C81)</f>
        <v>0</v>
      </c>
      <c r="S81" s="419">
        <f>SUMIFS('boc xe'!AJ$2:AJ$27,'boc xe'!$B$2:$B$27,'chia CN boc xe'!$C81)</f>
        <v>0</v>
      </c>
    </row>
    <row r="82" spans="1:19" ht="15.75" customHeight="1">
      <c r="A82" s="421">
        <f t="shared" si="33"/>
        <v>81</v>
      </c>
      <c r="B82" s="545"/>
      <c r="C82" s="421"/>
      <c r="D82" s="419">
        <f>SUMIFS('boc xe'!U$2:U$27,'boc xe'!$B$2:$B$27,'chia CN boc xe'!$C82)</f>
        <v>0</v>
      </c>
      <c r="E82" s="419">
        <f>SUMIFS('boc xe'!V$2:V$27,'boc xe'!$B$2:$B$27,'chia CN boc xe'!$C82)</f>
        <v>0</v>
      </c>
      <c r="F82" s="419">
        <f>SUMIFS('boc xe'!W$2:W$27,'boc xe'!$B$2:$B$27,'chia CN boc xe'!$C82)</f>
        <v>0</v>
      </c>
      <c r="G82" s="419">
        <f>SUMIFS('boc xe'!X$2:X$27,'boc xe'!$B$2:$B$27,'chia CN boc xe'!$C82)</f>
        <v>0</v>
      </c>
      <c r="H82" s="419">
        <f>SUMIFS('boc xe'!Y$2:Y$27,'boc xe'!$B$2:$B$27,'chia CN boc xe'!$C82)</f>
        <v>0</v>
      </c>
      <c r="I82" s="419">
        <f>SUMIFS('boc xe'!Z$2:Z$27,'boc xe'!$B$2:$B$27,'chia CN boc xe'!$C82)</f>
        <v>0</v>
      </c>
      <c r="J82" s="419">
        <f>SUMIFS('boc xe'!AA$2:AA$27,'boc xe'!$B$2:$B$27,'chia CN boc xe'!$C82)</f>
        <v>0</v>
      </c>
      <c r="K82" s="419">
        <f>SUMIFS('boc xe'!AB$2:AB$27,'boc xe'!$B$2:$B$27,'chia CN boc xe'!$C82)</f>
        <v>0</v>
      </c>
      <c r="L82" s="419">
        <f>SUMIFS('boc xe'!AC$2:AC$27,'boc xe'!$B$2:$B$27,'chia CN boc xe'!$C82)</f>
        <v>0</v>
      </c>
      <c r="M82" s="419">
        <f>SUMIFS('boc xe'!AD$2:AD$27,'boc xe'!$B$2:$B$27,'chia CN boc xe'!$C82)</f>
        <v>0</v>
      </c>
      <c r="N82" s="419">
        <f>SUMIFS('boc xe'!AE$2:AE$27,'boc xe'!$B$2:$B$27,'chia CN boc xe'!$C82)</f>
        <v>0</v>
      </c>
      <c r="O82" s="419">
        <f>SUMIFS('boc xe'!AF$2:AF$27,'boc xe'!$B$2:$B$27,'chia CN boc xe'!$C82)</f>
        <v>0</v>
      </c>
      <c r="P82" s="419">
        <f>SUMIFS('boc xe'!AG$2:AG$27,'boc xe'!$B$2:$B$27,'chia CN boc xe'!$C82)</f>
        <v>0</v>
      </c>
      <c r="Q82" s="419">
        <f>SUMIFS('boc xe'!AH$2:AH$27,'boc xe'!$B$2:$B$27,'chia CN boc xe'!$C82)</f>
        <v>0</v>
      </c>
      <c r="R82" s="419">
        <f>SUMIFS('boc xe'!AI$2:AI$27,'boc xe'!$B$2:$B$27,'chia CN boc xe'!$C82)</f>
        <v>0</v>
      </c>
      <c r="S82" s="419">
        <f>SUMIFS('boc xe'!AJ$2:AJ$27,'boc xe'!$B$2:$B$27,'chia CN boc xe'!$C82)</f>
        <v>0</v>
      </c>
    </row>
    <row r="83" spans="1:19" ht="15.75" customHeight="1">
      <c r="A83" s="421">
        <f t="shared" si="33"/>
        <v>82</v>
      </c>
      <c r="B83" s="545"/>
      <c r="C83" s="421"/>
      <c r="D83" s="419">
        <f>SUMIFS('boc xe'!U$2:U$27,'boc xe'!$B$2:$B$27,'chia CN boc xe'!$C83)</f>
        <v>0</v>
      </c>
      <c r="E83" s="419">
        <f>SUMIFS('boc xe'!V$2:V$27,'boc xe'!$B$2:$B$27,'chia CN boc xe'!$C83)</f>
        <v>0</v>
      </c>
      <c r="F83" s="419">
        <f>SUMIFS('boc xe'!W$2:W$27,'boc xe'!$B$2:$B$27,'chia CN boc xe'!$C83)</f>
        <v>0</v>
      </c>
      <c r="G83" s="419">
        <f>SUMIFS('boc xe'!X$2:X$27,'boc xe'!$B$2:$B$27,'chia CN boc xe'!$C83)</f>
        <v>0</v>
      </c>
      <c r="H83" s="419">
        <f>SUMIFS('boc xe'!Y$2:Y$27,'boc xe'!$B$2:$B$27,'chia CN boc xe'!$C83)</f>
        <v>0</v>
      </c>
      <c r="I83" s="419">
        <f>SUMIFS('boc xe'!Z$2:Z$27,'boc xe'!$B$2:$B$27,'chia CN boc xe'!$C83)</f>
        <v>0</v>
      </c>
      <c r="J83" s="419">
        <f>SUMIFS('boc xe'!AA$2:AA$27,'boc xe'!$B$2:$B$27,'chia CN boc xe'!$C83)</f>
        <v>0</v>
      </c>
      <c r="K83" s="419">
        <f>SUMIFS('boc xe'!AB$2:AB$27,'boc xe'!$B$2:$B$27,'chia CN boc xe'!$C83)</f>
        <v>0</v>
      </c>
      <c r="L83" s="419">
        <f>SUMIFS('boc xe'!AC$2:AC$27,'boc xe'!$B$2:$B$27,'chia CN boc xe'!$C83)</f>
        <v>0</v>
      </c>
      <c r="M83" s="419">
        <f>SUMIFS('boc xe'!AD$2:AD$27,'boc xe'!$B$2:$B$27,'chia CN boc xe'!$C83)</f>
        <v>0</v>
      </c>
      <c r="N83" s="419">
        <f>SUMIFS('boc xe'!AE$2:AE$27,'boc xe'!$B$2:$B$27,'chia CN boc xe'!$C83)</f>
        <v>0</v>
      </c>
      <c r="O83" s="419">
        <f>SUMIFS('boc xe'!AF$2:AF$27,'boc xe'!$B$2:$B$27,'chia CN boc xe'!$C83)</f>
        <v>0</v>
      </c>
      <c r="P83" s="419">
        <f>SUMIFS('boc xe'!AG$2:AG$27,'boc xe'!$B$2:$B$27,'chia CN boc xe'!$C83)</f>
        <v>0</v>
      </c>
      <c r="Q83" s="419">
        <f>SUMIFS('boc xe'!AH$2:AH$27,'boc xe'!$B$2:$B$27,'chia CN boc xe'!$C83)</f>
        <v>0</v>
      </c>
      <c r="R83" s="419">
        <f>SUMIFS('boc xe'!AI$2:AI$27,'boc xe'!$B$2:$B$27,'chia CN boc xe'!$C83)</f>
        <v>0</v>
      </c>
      <c r="S83" s="419">
        <f>SUMIFS('boc xe'!AJ$2:AJ$27,'boc xe'!$B$2:$B$27,'chia CN boc xe'!$C83)</f>
        <v>0</v>
      </c>
    </row>
    <row r="84" spans="1:19" ht="15.75" customHeight="1">
      <c r="A84" s="421">
        <f t="shared" si="33"/>
        <v>83</v>
      </c>
      <c r="B84" s="555"/>
      <c r="C84" s="421"/>
      <c r="D84" s="419">
        <f>SUMIFS('boc xe'!U$2:U$27,'boc xe'!$B$2:$B$27,'chia CN boc xe'!$C84)</f>
        <v>0</v>
      </c>
      <c r="E84" s="419">
        <f>SUMIFS('boc xe'!V$2:V$27,'boc xe'!$B$2:$B$27,'chia CN boc xe'!$C84)</f>
        <v>0</v>
      </c>
      <c r="F84" s="419">
        <f>SUMIFS('boc xe'!W$2:W$27,'boc xe'!$B$2:$B$27,'chia CN boc xe'!$C84)</f>
        <v>0</v>
      </c>
      <c r="G84" s="419">
        <f>SUMIFS('boc xe'!X$2:X$27,'boc xe'!$B$2:$B$27,'chia CN boc xe'!$C84)</f>
        <v>0</v>
      </c>
      <c r="H84" s="419">
        <f>SUMIFS('boc xe'!Y$2:Y$27,'boc xe'!$B$2:$B$27,'chia CN boc xe'!$C84)</f>
        <v>0</v>
      </c>
      <c r="I84" s="419">
        <f>SUMIFS('boc xe'!Z$2:Z$27,'boc xe'!$B$2:$B$27,'chia CN boc xe'!$C84)</f>
        <v>0</v>
      </c>
      <c r="J84" s="419">
        <f>SUMIFS('boc xe'!AA$2:AA$27,'boc xe'!$B$2:$B$27,'chia CN boc xe'!$C84)</f>
        <v>0</v>
      </c>
      <c r="K84" s="419">
        <f>SUMIFS('boc xe'!AB$2:AB$27,'boc xe'!$B$2:$B$27,'chia CN boc xe'!$C84)</f>
        <v>0</v>
      </c>
      <c r="L84" s="419">
        <f>SUMIFS('boc xe'!AC$2:AC$27,'boc xe'!$B$2:$B$27,'chia CN boc xe'!$C84)</f>
        <v>0</v>
      </c>
      <c r="M84" s="419">
        <f>SUMIFS('boc xe'!AD$2:AD$27,'boc xe'!$B$2:$B$27,'chia CN boc xe'!$C84)</f>
        <v>0</v>
      </c>
      <c r="N84" s="419">
        <f>SUMIFS('boc xe'!AE$2:AE$27,'boc xe'!$B$2:$B$27,'chia CN boc xe'!$C84)</f>
        <v>0</v>
      </c>
      <c r="O84" s="419">
        <f>SUMIFS('boc xe'!AF$2:AF$27,'boc xe'!$B$2:$B$27,'chia CN boc xe'!$C84)</f>
        <v>0</v>
      </c>
      <c r="P84" s="419">
        <f>SUMIFS('boc xe'!AG$2:AG$27,'boc xe'!$B$2:$B$27,'chia CN boc xe'!$C84)</f>
        <v>0</v>
      </c>
      <c r="Q84" s="419">
        <f>SUMIFS('boc xe'!AH$2:AH$27,'boc xe'!$B$2:$B$27,'chia CN boc xe'!$C84)</f>
        <v>0</v>
      </c>
      <c r="R84" s="419">
        <f>SUMIFS('boc xe'!AI$2:AI$27,'boc xe'!$B$2:$B$27,'chia CN boc xe'!$C84)</f>
        <v>0</v>
      </c>
      <c r="S84" s="419">
        <f>SUMIFS('boc xe'!AJ$2:AJ$27,'boc xe'!$B$2:$B$27,'chia CN boc xe'!$C84)</f>
        <v>0</v>
      </c>
    </row>
    <row r="85" spans="1:19" ht="15.75" customHeight="1">
      <c r="A85" s="421">
        <f t="shared" si="33"/>
        <v>84</v>
      </c>
      <c r="B85" s="555"/>
      <c r="C85" s="421"/>
      <c r="D85" s="419">
        <f>SUMIFS('boc xe'!U$2:U$27,'boc xe'!$B$2:$B$27,'chia CN boc xe'!$C85)</f>
        <v>0</v>
      </c>
      <c r="E85" s="419">
        <f>SUMIFS('boc xe'!V$2:V$27,'boc xe'!$B$2:$B$27,'chia CN boc xe'!$C85)</f>
        <v>0</v>
      </c>
      <c r="F85" s="419">
        <f>SUMIFS('boc xe'!W$2:W$27,'boc xe'!$B$2:$B$27,'chia CN boc xe'!$C85)</f>
        <v>0</v>
      </c>
      <c r="G85" s="419">
        <f>SUMIFS('boc xe'!X$2:X$27,'boc xe'!$B$2:$B$27,'chia CN boc xe'!$C85)</f>
        <v>0</v>
      </c>
      <c r="H85" s="419">
        <f>SUMIFS('boc xe'!Y$2:Y$27,'boc xe'!$B$2:$B$27,'chia CN boc xe'!$C85)</f>
        <v>0</v>
      </c>
      <c r="I85" s="419">
        <f>SUMIFS('boc xe'!Z$2:Z$27,'boc xe'!$B$2:$B$27,'chia CN boc xe'!$C85)</f>
        <v>0</v>
      </c>
      <c r="J85" s="419">
        <f>SUMIFS('boc xe'!AA$2:AA$27,'boc xe'!$B$2:$B$27,'chia CN boc xe'!$C85)</f>
        <v>0</v>
      </c>
      <c r="K85" s="419">
        <f>SUMIFS('boc xe'!AB$2:AB$27,'boc xe'!$B$2:$B$27,'chia CN boc xe'!$C85)</f>
        <v>0</v>
      </c>
      <c r="L85" s="419">
        <f>SUMIFS('boc xe'!AC$2:AC$27,'boc xe'!$B$2:$B$27,'chia CN boc xe'!$C85)</f>
        <v>0</v>
      </c>
      <c r="M85" s="419">
        <f>SUMIFS('boc xe'!AD$2:AD$27,'boc xe'!$B$2:$B$27,'chia CN boc xe'!$C85)</f>
        <v>0</v>
      </c>
      <c r="N85" s="419">
        <f>SUMIFS('boc xe'!AE$2:AE$27,'boc xe'!$B$2:$B$27,'chia CN boc xe'!$C85)</f>
        <v>0</v>
      </c>
      <c r="O85" s="419">
        <f>SUMIFS('boc xe'!AF$2:AF$27,'boc xe'!$B$2:$B$27,'chia CN boc xe'!$C85)</f>
        <v>0</v>
      </c>
      <c r="P85" s="419">
        <f>SUMIFS('boc xe'!AG$2:AG$27,'boc xe'!$B$2:$B$27,'chia CN boc xe'!$C85)</f>
        <v>0</v>
      </c>
      <c r="Q85" s="419">
        <f>SUMIFS('boc xe'!AH$2:AH$27,'boc xe'!$B$2:$B$27,'chia CN boc xe'!$C85)</f>
        <v>0</v>
      </c>
      <c r="R85" s="419">
        <f>SUMIFS('boc xe'!AI$2:AI$27,'boc xe'!$B$2:$B$27,'chia CN boc xe'!$C85)</f>
        <v>0</v>
      </c>
      <c r="S85" s="419">
        <f>SUMIFS('boc xe'!AJ$2:AJ$27,'boc xe'!$B$2:$B$27,'chia CN boc xe'!$C85)</f>
        <v>0</v>
      </c>
    </row>
    <row r="86" spans="1:19" ht="15.75" customHeight="1">
      <c r="A86" s="421">
        <f t="shared" si="33"/>
        <v>85</v>
      </c>
      <c r="B86" s="555"/>
      <c r="C86" s="421"/>
      <c r="D86" s="419">
        <f>SUMIFS('boc xe'!U$2:U$27,'boc xe'!$B$2:$B$27,'chia CN boc xe'!$C86)</f>
        <v>0</v>
      </c>
      <c r="E86" s="419">
        <f>SUMIFS('boc xe'!V$2:V$27,'boc xe'!$B$2:$B$27,'chia CN boc xe'!$C86)</f>
        <v>0</v>
      </c>
      <c r="F86" s="419">
        <f>SUMIFS('boc xe'!W$2:W$27,'boc xe'!$B$2:$B$27,'chia CN boc xe'!$C86)</f>
        <v>0</v>
      </c>
      <c r="G86" s="419">
        <f>SUMIFS('boc xe'!X$2:X$27,'boc xe'!$B$2:$B$27,'chia CN boc xe'!$C86)</f>
        <v>0</v>
      </c>
      <c r="H86" s="419">
        <f>SUMIFS('boc xe'!Y$2:Y$27,'boc xe'!$B$2:$B$27,'chia CN boc xe'!$C86)</f>
        <v>0</v>
      </c>
      <c r="I86" s="419">
        <f>SUMIFS('boc xe'!Z$2:Z$27,'boc xe'!$B$2:$B$27,'chia CN boc xe'!$C86)</f>
        <v>0</v>
      </c>
      <c r="J86" s="419">
        <f>SUMIFS('boc xe'!AA$2:AA$27,'boc xe'!$B$2:$B$27,'chia CN boc xe'!$C86)</f>
        <v>0</v>
      </c>
      <c r="K86" s="419">
        <f>SUMIFS('boc xe'!AB$2:AB$27,'boc xe'!$B$2:$B$27,'chia CN boc xe'!$C86)</f>
        <v>0</v>
      </c>
      <c r="L86" s="419">
        <f>SUMIFS('boc xe'!AC$2:AC$27,'boc xe'!$B$2:$B$27,'chia CN boc xe'!$C86)</f>
        <v>0</v>
      </c>
      <c r="M86" s="419">
        <f>SUMIFS('boc xe'!AD$2:AD$27,'boc xe'!$B$2:$B$27,'chia CN boc xe'!$C86)</f>
        <v>0</v>
      </c>
      <c r="N86" s="419">
        <f>SUMIFS('boc xe'!AE$2:AE$27,'boc xe'!$B$2:$B$27,'chia CN boc xe'!$C86)</f>
        <v>0</v>
      </c>
      <c r="O86" s="419">
        <f>SUMIFS('boc xe'!AF$2:AF$27,'boc xe'!$B$2:$B$27,'chia CN boc xe'!$C86)</f>
        <v>0</v>
      </c>
      <c r="P86" s="419">
        <f>SUMIFS('boc xe'!AG$2:AG$27,'boc xe'!$B$2:$B$27,'chia CN boc xe'!$C86)</f>
        <v>0</v>
      </c>
      <c r="Q86" s="419">
        <f>SUMIFS('boc xe'!AH$2:AH$27,'boc xe'!$B$2:$B$27,'chia CN boc xe'!$C86)</f>
        <v>0</v>
      </c>
      <c r="R86" s="419">
        <f>SUMIFS('boc xe'!AI$2:AI$27,'boc xe'!$B$2:$B$27,'chia CN boc xe'!$C86)</f>
        <v>0</v>
      </c>
      <c r="S86" s="419">
        <f>SUMIFS('boc xe'!AJ$2:AJ$27,'boc xe'!$B$2:$B$27,'chia CN boc xe'!$C86)</f>
        <v>0</v>
      </c>
    </row>
    <row r="87" spans="1:19" ht="15.75" customHeight="1">
      <c r="A87" s="421">
        <f t="shared" si="33"/>
        <v>86</v>
      </c>
      <c r="B87" s="555"/>
      <c r="C87" s="421"/>
      <c r="D87" s="419">
        <f>SUMIFS('boc xe'!U$2:U$27,'boc xe'!$B$2:$B$27,'chia CN boc xe'!$C87)</f>
        <v>0</v>
      </c>
      <c r="E87" s="419">
        <f>SUMIFS('boc xe'!V$2:V$27,'boc xe'!$B$2:$B$27,'chia CN boc xe'!$C87)</f>
        <v>0</v>
      </c>
      <c r="F87" s="419">
        <f>SUMIFS('boc xe'!W$2:W$27,'boc xe'!$B$2:$B$27,'chia CN boc xe'!$C87)</f>
        <v>0</v>
      </c>
      <c r="G87" s="419">
        <f>SUMIFS('boc xe'!X$2:X$27,'boc xe'!$B$2:$B$27,'chia CN boc xe'!$C87)</f>
        <v>0</v>
      </c>
      <c r="H87" s="419">
        <f>SUMIFS('boc xe'!Y$2:Y$27,'boc xe'!$B$2:$B$27,'chia CN boc xe'!$C87)</f>
        <v>0</v>
      </c>
      <c r="I87" s="419">
        <f>SUMIFS('boc xe'!Z$2:Z$27,'boc xe'!$B$2:$B$27,'chia CN boc xe'!$C87)</f>
        <v>0</v>
      </c>
      <c r="J87" s="419">
        <f>SUMIFS('boc xe'!AA$2:AA$27,'boc xe'!$B$2:$B$27,'chia CN boc xe'!$C87)</f>
        <v>0</v>
      </c>
      <c r="K87" s="419">
        <f>SUMIFS('boc xe'!AB$2:AB$27,'boc xe'!$B$2:$B$27,'chia CN boc xe'!$C87)</f>
        <v>0</v>
      </c>
      <c r="L87" s="419">
        <f>SUMIFS('boc xe'!AC$2:AC$27,'boc xe'!$B$2:$B$27,'chia CN boc xe'!$C87)</f>
        <v>0</v>
      </c>
      <c r="M87" s="419">
        <f>SUMIFS('boc xe'!AD$2:AD$27,'boc xe'!$B$2:$B$27,'chia CN boc xe'!$C87)</f>
        <v>0</v>
      </c>
      <c r="N87" s="419">
        <f>SUMIFS('boc xe'!AE$2:AE$27,'boc xe'!$B$2:$B$27,'chia CN boc xe'!$C87)</f>
        <v>0</v>
      </c>
      <c r="O87" s="419">
        <f>SUMIFS('boc xe'!AF$2:AF$27,'boc xe'!$B$2:$B$27,'chia CN boc xe'!$C87)</f>
        <v>0</v>
      </c>
      <c r="P87" s="419">
        <f>SUMIFS('boc xe'!AG$2:AG$27,'boc xe'!$B$2:$B$27,'chia CN boc xe'!$C87)</f>
        <v>0</v>
      </c>
      <c r="Q87" s="419">
        <f>SUMIFS('boc xe'!AH$2:AH$27,'boc xe'!$B$2:$B$27,'chia CN boc xe'!$C87)</f>
        <v>0</v>
      </c>
      <c r="R87" s="419">
        <f>SUMIFS('boc xe'!AI$2:AI$27,'boc xe'!$B$2:$B$27,'chia CN boc xe'!$C87)</f>
        <v>0</v>
      </c>
      <c r="S87" s="419">
        <f>SUMIFS('boc xe'!AJ$2:AJ$27,'boc xe'!$B$2:$B$27,'chia CN boc xe'!$C87)</f>
        <v>0</v>
      </c>
    </row>
    <row r="88" spans="1:19" ht="15.75" customHeight="1">
      <c r="A88" s="421">
        <f t="shared" si="33"/>
        <v>87</v>
      </c>
      <c r="B88" s="555"/>
      <c r="C88" s="421"/>
      <c r="D88" s="419">
        <f>SUMIFS('boc xe'!U$2:U$27,'boc xe'!$B$2:$B$27,'chia CN boc xe'!$C88)</f>
        <v>0</v>
      </c>
      <c r="E88" s="419">
        <f>SUMIFS('boc xe'!V$2:V$27,'boc xe'!$B$2:$B$27,'chia CN boc xe'!$C88)</f>
        <v>0</v>
      </c>
      <c r="F88" s="419">
        <f>SUMIFS('boc xe'!W$2:W$27,'boc xe'!$B$2:$B$27,'chia CN boc xe'!$C88)</f>
        <v>0</v>
      </c>
      <c r="G88" s="419">
        <f>SUMIFS('boc xe'!X$2:X$27,'boc xe'!$B$2:$B$27,'chia CN boc xe'!$C88)</f>
        <v>0</v>
      </c>
      <c r="H88" s="419">
        <f>SUMIFS('boc xe'!Y$2:Y$27,'boc xe'!$B$2:$B$27,'chia CN boc xe'!$C88)</f>
        <v>0</v>
      </c>
      <c r="I88" s="419">
        <f>SUMIFS('boc xe'!Z$2:Z$27,'boc xe'!$B$2:$B$27,'chia CN boc xe'!$C88)</f>
        <v>0</v>
      </c>
      <c r="J88" s="419">
        <f>SUMIFS('boc xe'!AA$2:AA$27,'boc xe'!$B$2:$B$27,'chia CN boc xe'!$C88)</f>
        <v>0</v>
      </c>
      <c r="K88" s="419">
        <f>SUMIFS('boc xe'!AB$2:AB$27,'boc xe'!$B$2:$B$27,'chia CN boc xe'!$C88)</f>
        <v>0</v>
      </c>
      <c r="L88" s="419">
        <f>SUMIFS('boc xe'!AC$2:AC$27,'boc xe'!$B$2:$B$27,'chia CN boc xe'!$C88)</f>
        <v>0</v>
      </c>
      <c r="M88" s="419">
        <f>SUMIFS('boc xe'!AD$2:AD$27,'boc xe'!$B$2:$B$27,'chia CN boc xe'!$C88)</f>
        <v>0</v>
      </c>
      <c r="N88" s="419">
        <f>SUMIFS('boc xe'!AE$2:AE$27,'boc xe'!$B$2:$B$27,'chia CN boc xe'!$C88)</f>
        <v>0</v>
      </c>
      <c r="O88" s="419">
        <f>SUMIFS('boc xe'!AF$2:AF$27,'boc xe'!$B$2:$B$27,'chia CN boc xe'!$C88)</f>
        <v>0</v>
      </c>
      <c r="P88" s="419">
        <f>SUMIFS('boc xe'!AG$2:AG$27,'boc xe'!$B$2:$B$27,'chia CN boc xe'!$C88)</f>
        <v>0</v>
      </c>
      <c r="Q88" s="419">
        <f>SUMIFS('boc xe'!AH$2:AH$27,'boc xe'!$B$2:$B$27,'chia CN boc xe'!$C88)</f>
        <v>0</v>
      </c>
      <c r="R88" s="419">
        <f>SUMIFS('boc xe'!AI$2:AI$27,'boc xe'!$B$2:$B$27,'chia CN boc xe'!$C88)</f>
        <v>0</v>
      </c>
      <c r="S88" s="419">
        <f>SUMIFS('boc xe'!AJ$2:AJ$27,'boc xe'!$B$2:$B$27,'chia CN boc xe'!$C88)</f>
        <v>0</v>
      </c>
    </row>
    <row r="89" spans="1:19" ht="15.75" customHeight="1">
      <c r="A89" s="421">
        <f t="shared" si="33"/>
        <v>88</v>
      </c>
      <c r="B89" s="555"/>
      <c r="C89" s="421"/>
      <c r="D89" s="419">
        <f>SUMIFS('boc xe'!U$2:U$27,'boc xe'!$B$2:$B$27,'chia CN boc xe'!$C89)</f>
        <v>0</v>
      </c>
      <c r="E89" s="419">
        <f>SUMIFS('boc xe'!V$2:V$27,'boc xe'!$B$2:$B$27,'chia CN boc xe'!$C89)</f>
        <v>0</v>
      </c>
      <c r="F89" s="419">
        <f>SUMIFS('boc xe'!W$2:W$27,'boc xe'!$B$2:$B$27,'chia CN boc xe'!$C89)</f>
        <v>0</v>
      </c>
      <c r="G89" s="419">
        <f>SUMIFS('boc xe'!X$2:X$27,'boc xe'!$B$2:$B$27,'chia CN boc xe'!$C89)</f>
        <v>0</v>
      </c>
      <c r="H89" s="419">
        <f>SUMIFS('boc xe'!Y$2:Y$27,'boc xe'!$B$2:$B$27,'chia CN boc xe'!$C89)</f>
        <v>0</v>
      </c>
      <c r="I89" s="419">
        <f>SUMIFS('boc xe'!Z$2:Z$27,'boc xe'!$B$2:$B$27,'chia CN boc xe'!$C89)</f>
        <v>0</v>
      </c>
      <c r="J89" s="419">
        <f>SUMIFS('boc xe'!AA$2:AA$27,'boc xe'!$B$2:$B$27,'chia CN boc xe'!$C89)</f>
        <v>0</v>
      </c>
      <c r="K89" s="419">
        <f>SUMIFS('boc xe'!AB$2:AB$27,'boc xe'!$B$2:$B$27,'chia CN boc xe'!$C89)</f>
        <v>0</v>
      </c>
      <c r="L89" s="419">
        <f>SUMIFS('boc xe'!AC$2:AC$27,'boc xe'!$B$2:$B$27,'chia CN boc xe'!$C89)</f>
        <v>0</v>
      </c>
      <c r="M89" s="419">
        <f>SUMIFS('boc xe'!AD$2:AD$27,'boc xe'!$B$2:$B$27,'chia CN boc xe'!$C89)</f>
        <v>0</v>
      </c>
      <c r="N89" s="419">
        <f>SUMIFS('boc xe'!AE$2:AE$27,'boc xe'!$B$2:$B$27,'chia CN boc xe'!$C89)</f>
        <v>0</v>
      </c>
      <c r="O89" s="419">
        <f>SUMIFS('boc xe'!AF$2:AF$27,'boc xe'!$B$2:$B$27,'chia CN boc xe'!$C89)</f>
        <v>0</v>
      </c>
      <c r="P89" s="419">
        <f>SUMIFS('boc xe'!AG$2:AG$27,'boc xe'!$B$2:$B$27,'chia CN boc xe'!$C89)</f>
        <v>0</v>
      </c>
      <c r="Q89" s="419">
        <f>SUMIFS('boc xe'!AH$2:AH$27,'boc xe'!$B$2:$B$27,'chia CN boc xe'!$C89)</f>
        <v>0</v>
      </c>
      <c r="R89" s="419">
        <f>SUMIFS('boc xe'!AI$2:AI$27,'boc xe'!$B$2:$B$27,'chia CN boc xe'!$C89)</f>
        <v>0</v>
      </c>
      <c r="S89" s="419">
        <f>SUMIFS('boc xe'!AJ$2:AJ$27,'boc xe'!$B$2:$B$27,'chia CN boc xe'!$C89)</f>
        <v>0</v>
      </c>
    </row>
    <row r="90" spans="1:19" ht="15.75" customHeight="1">
      <c r="A90" s="421">
        <f t="shared" si="33"/>
        <v>89</v>
      </c>
      <c r="B90" s="555"/>
      <c r="C90" s="421"/>
      <c r="D90" s="419">
        <f>SUMIFS('boc xe'!U$2:U$27,'boc xe'!$B$2:$B$27,'chia CN boc xe'!$C90)</f>
        <v>0</v>
      </c>
      <c r="E90" s="419">
        <f>SUMIFS('boc xe'!V$2:V$27,'boc xe'!$B$2:$B$27,'chia CN boc xe'!$C90)</f>
        <v>0</v>
      </c>
      <c r="F90" s="419">
        <f>SUMIFS('boc xe'!W$2:W$27,'boc xe'!$B$2:$B$27,'chia CN boc xe'!$C90)</f>
        <v>0</v>
      </c>
      <c r="G90" s="419">
        <f>SUMIFS('boc xe'!X$2:X$27,'boc xe'!$B$2:$B$27,'chia CN boc xe'!$C90)</f>
        <v>0</v>
      </c>
      <c r="H90" s="419">
        <f>SUMIFS('boc xe'!Y$2:Y$27,'boc xe'!$B$2:$B$27,'chia CN boc xe'!$C90)</f>
        <v>0</v>
      </c>
      <c r="I90" s="419">
        <f>SUMIFS('boc xe'!Z$2:Z$27,'boc xe'!$B$2:$B$27,'chia CN boc xe'!$C90)</f>
        <v>0</v>
      </c>
      <c r="J90" s="419">
        <f>SUMIFS('boc xe'!AA$2:AA$27,'boc xe'!$B$2:$B$27,'chia CN boc xe'!$C90)</f>
        <v>0</v>
      </c>
      <c r="K90" s="419">
        <f>SUMIFS('boc xe'!AB$2:AB$27,'boc xe'!$B$2:$B$27,'chia CN boc xe'!$C90)</f>
        <v>0</v>
      </c>
      <c r="L90" s="419">
        <f>SUMIFS('boc xe'!AC$2:AC$27,'boc xe'!$B$2:$B$27,'chia CN boc xe'!$C90)</f>
        <v>0</v>
      </c>
      <c r="M90" s="419">
        <f>SUMIFS('boc xe'!AD$2:AD$27,'boc xe'!$B$2:$B$27,'chia CN boc xe'!$C90)</f>
        <v>0</v>
      </c>
      <c r="N90" s="419">
        <f>SUMIFS('boc xe'!AE$2:AE$27,'boc xe'!$B$2:$B$27,'chia CN boc xe'!$C90)</f>
        <v>0</v>
      </c>
      <c r="O90" s="419">
        <f>SUMIFS('boc xe'!AF$2:AF$27,'boc xe'!$B$2:$B$27,'chia CN boc xe'!$C90)</f>
        <v>0</v>
      </c>
      <c r="P90" s="419">
        <f>SUMIFS('boc xe'!AG$2:AG$27,'boc xe'!$B$2:$B$27,'chia CN boc xe'!$C90)</f>
        <v>0</v>
      </c>
      <c r="Q90" s="419">
        <f>SUMIFS('boc xe'!AH$2:AH$27,'boc xe'!$B$2:$B$27,'chia CN boc xe'!$C90)</f>
        <v>0</v>
      </c>
      <c r="R90" s="419">
        <f>SUMIFS('boc xe'!AI$2:AI$27,'boc xe'!$B$2:$B$27,'chia CN boc xe'!$C90)</f>
        <v>0</v>
      </c>
      <c r="S90" s="419">
        <f>SUMIFS('boc xe'!AJ$2:AJ$27,'boc xe'!$B$2:$B$27,'chia CN boc xe'!$C90)</f>
        <v>0</v>
      </c>
    </row>
    <row r="91" spans="1:19" ht="15.75" customHeight="1">
      <c r="A91" s="421">
        <f t="shared" si="33"/>
        <v>90</v>
      </c>
      <c r="B91" s="555"/>
      <c r="C91" s="421"/>
      <c r="D91" s="419">
        <f>SUMIFS('boc xe'!U$2:U$27,'boc xe'!$B$2:$B$27,'chia CN boc xe'!$C91)</f>
        <v>0</v>
      </c>
      <c r="E91" s="419">
        <f>SUMIFS('boc xe'!V$2:V$27,'boc xe'!$B$2:$B$27,'chia CN boc xe'!$C91)</f>
        <v>0</v>
      </c>
      <c r="F91" s="419">
        <f>SUMIFS('boc xe'!W$2:W$27,'boc xe'!$B$2:$B$27,'chia CN boc xe'!$C91)</f>
        <v>0</v>
      </c>
      <c r="G91" s="419">
        <f>SUMIFS('boc xe'!X$2:X$27,'boc xe'!$B$2:$B$27,'chia CN boc xe'!$C91)</f>
        <v>0</v>
      </c>
      <c r="H91" s="419">
        <f>SUMIFS('boc xe'!Y$2:Y$27,'boc xe'!$B$2:$B$27,'chia CN boc xe'!$C91)</f>
        <v>0</v>
      </c>
      <c r="I91" s="419">
        <f>SUMIFS('boc xe'!Z$2:Z$27,'boc xe'!$B$2:$B$27,'chia CN boc xe'!$C91)</f>
        <v>0</v>
      </c>
      <c r="J91" s="419">
        <f>SUMIFS('boc xe'!AA$2:AA$27,'boc xe'!$B$2:$B$27,'chia CN boc xe'!$C91)</f>
        <v>0</v>
      </c>
      <c r="K91" s="419">
        <f>SUMIFS('boc xe'!AB$2:AB$27,'boc xe'!$B$2:$B$27,'chia CN boc xe'!$C91)</f>
        <v>0</v>
      </c>
      <c r="L91" s="419">
        <f>SUMIFS('boc xe'!AC$2:AC$27,'boc xe'!$B$2:$B$27,'chia CN boc xe'!$C91)</f>
        <v>0</v>
      </c>
      <c r="M91" s="419">
        <f>SUMIFS('boc xe'!AD$2:AD$27,'boc xe'!$B$2:$B$27,'chia CN boc xe'!$C91)</f>
        <v>0</v>
      </c>
      <c r="N91" s="419">
        <f>SUMIFS('boc xe'!AE$2:AE$27,'boc xe'!$B$2:$B$27,'chia CN boc xe'!$C91)</f>
        <v>0</v>
      </c>
      <c r="O91" s="419">
        <f>SUMIFS('boc xe'!AF$2:AF$27,'boc xe'!$B$2:$B$27,'chia CN boc xe'!$C91)</f>
        <v>0</v>
      </c>
      <c r="P91" s="419">
        <f>SUMIFS('boc xe'!AG$2:AG$27,'boc xe'!$B$2:$B$27,'chia CN boc xe'!$C91)</f>
        <v>0</v>
      </c>
      <c r="Q91" s="419">
        <f>SUMIFS('boc xe'!AH$2:AH$27,'boc xe'!$B$2:$B$27,'chia CN boc xe'!$C91)</f>
        <v>0</v>
      </c>
      <c r="R91" s="419">
        <f>SUMIFS('boc xe'!AI$2:AI$27,'boc xe'!$B$2:$B$27,'chia CN boc xe'!$C91)</f>
        <v>0</v>
      </c>
      <c r="S91" s="419">
        <f>SUMIFS('boc xe'!AJ$2:AJ$27,'boc xe'!$B$2:$B$27,'chia CN boc xe'!$C91)</f>
        <v>0</v>
      </c>
    </row>
    <row r="92" spans="1:19" ht="15.75" customHeight="1">
      <c r="A92" s="421">
        <f t="shared" si="33"/>
        <v>91</v>
      </c>
      <c r="B92" s="555"/>
      <c r="C92" s="421"/>
      <c r="D92" s="419">
        <f>SUMIFS('boc xe'!U$2:U$27,'boc xe'!$B$2:$B$27,'chia CN boc xe'!$C92)</f>
        <v>0</v>
      </c>
      <c r="E92" s="419">
        <f>SUMIFS('boc xe'!V$2:V$27,'boc xe'!$B$2:$B$27,'chia CN boc xe'!$C92)</f>
        <v>0</v>
      </c>
      <c r="F92" s="419">
        <f>SUMIFS('boc xe'!W$2:W$27,'boc xe'!$B$2:$B$27,'chia CN boc xe'!$C92)</f>
        <v>0</v>
      </c>
      <c r="G92" s="419">
        <f>SUMIFS('boc xe'!X$2:X$27,'boc xe'!$B$2:$B$27,'chia CN boc xe'!$C92)</f>
        <v>0</v>
      </c>
      <c r="H92" s="419">
        <f>SUMIFS('boc xe'!Y$2:Y$27,'boc xe'!$B$2:$B$27,'chia CN boc xe'!$C92)</f>
        <v>0</v>
      </c>
      <c r="I92" s="419">
        <f>SUMIFS('boc xe'!Z$2:Z$27,'boc xe'!$B$2:$B$27,'chia CN boc xe'!$C92)</f>
        <v>0</v>
      </c>
      <c r="J92" s="419">
        <f>SUMIFS('boc xe'!AA$2:AA$27,'boc xe'!$B$2:$B$27,'chia CN boc xe'!$C92)</f>
        <v>0</v>
      </c>
      <c r="K92" s="419">
        <f>SUMIFS('boc xe'!AB$2:AB$27,'boc xe'!$B$2:$B$27,'chia CN boc xe'!$C92)</f>
        <v>0</v>
      </c>
      <c r="L92" s="419">
        <f>SUMIFS('boc xe'!AC$2:AC$27,'boc xe'!$B$2:$B$27,'chia CN boc xe'!$C92)</f>
        <v>0</v>
      </c>
      <c r="M92" s="419">
        <f>SUMIFS('boc xe'!AD$2:AD$27,'boc xe'!$B$2:$B$27,'chia CN boc xe'!$C92)</f>
        <v>0</v>
      </c>
      <c r="N92" s="419">
        <f>SUMIFS('boc xe'!AE$2:AE$27,'boc xe'!$B$2:$B$27,'chia CN boc xe'!$C92)</f>
        <v>0</v>
      </c>
      <c r="O92" s="419">
        <f>SUMIFS('boc xe'!AF$2:AF$27,'boc xe'!$B$2:$B$27,'chia CN boc xe'!$C92)</f>
        <v>0</v>
      </c>
      <c r="P92" s="419">
        <f>SUMIFS('boc xe'!AG$2:AG$27,'boc xe'!$B$2:$B$27,'chia CN boc xe'!$C92)</f>
        <v>0</v>
      </c>
      <c r="Q92" s="419">
        <f>SUMIFS('boc xe'!AH$2:AH$27,'boc xe'!$B$2:$B$27,'chia CN boc xe'!$C92)</f>
        <v>0</v>
      </c>
      <c r="R92" s="419">
        <f>SUMIFS('boc xe'!AI$2:AI$27,'boc xe'!$B$2:$B$27,'chia CN boc xe'!$C92)</f>
        <v>0</v>
      </c>
      <c r="S92" s="419">
        <f>SUMIFS('boc xe'!AJ$2:AJ$27,'boc xe'!$B$2:$B$27,'chia CN boc xe'!$C92)</f>
        <v>0</v>
      </c>
    </row>
    <row r="93" spans="1:19" ht="15.75" customHeight="1">
      <c r="A93" s="421">
        <f t="shared" si="33"/>
        <v>92</v>
      </c>
      <c r="B93" s="555"/>
      <c r="C93" s="421"/>
      <c r="D93" s="419">
        <f>SUMIFS('boc xe'!U$2:U$27,'boc xe'!$B$2:$B$27,'chia CN boc xe'!$C93)</f>
        <v>0</v>
      </c>
      <c r="E93" s="419">
        <f>SUMIFS('boc xe'!V$2:V$27,'boc xe'!$B$2:$B$27,'chia CN boc xe'!$C93)</f>
        <v>0</v>
      </c>
      <c r="F93" s="419">
        <f>SUMIFS('boc xe'!W$2:W$27,'boc xe'!$B$2:$B$27,'chia CN boc xe'!$C93)</f>
        <v>0</v>
      </c>
      <c r="G93" s="419">
        <f>SUMIFS('boc xe'!X$2:X$27,'boc xe'!$B$2:$B$27,'chia CN boc xe'!$C93)</f>
        <v>0</v>
      </c>
      <c r="H93" s="419">
        <f>SUMIFS('boc xe'!Y$2:Y$27,'boc xe'!$B$2:$B$27,'chia CN boc xe'!$C93)</f>
        <v>0</v>
      </c>
      <c r="I93" s="419">
        <f>SUMIFS('boc xe'!Z$2:Z$27,'boc xe'!$B$2:$B$27,'chia CN boc xe'!$C93)</f>
        <v>0</v>
      </c>
      <c r="J93" s="419">
        <f>SUMIFS('boc xe'!AA$2:AA$27,'boc xe'!$B$2:$B$27,'chia CN boc xe'!$C93)</f>
        <v>0</v>
      </c>
      <c r="K93" s="419">
        <f>SUMIFS('boc xe'!AB$2:AB$27,'boc xe'!$B$2:$B$27,'chia CN boc xe'!$C93)</f>
        <v>0</v>
      </c>
      <c r="L93" s="419">
        <f>SUMIFS('boc xe'!AC$2:AC$27,'boc xe'!$B$2:$B$27,'chia CN boc xe'!$C93)</f>
        <v>0</v>
      </c>
      <c r="M93" s="419">
        <f>SUMIFS('boc xe'!AD$2:AD$27,'boc xe'!$B$2:$B$27,'chia CN boc xe'!$C93)</f>
        <v>0</v>
      </c>
      <c r="N93" s="419">
        <f>SUMIFS('boc xe'!AE$2:AE$27,'boc xe'!$B$2:$B$27,'chia CN boc xe'!$C93)</f>
        <v>0</v>
      </c>
      <c r="O93" s="419">
        <f>SUMIFS('boc xe'!AF$2:AF$27,'boc xe'!$B$2:$B$27,'chia CN boc xe'!$C93)</f>
        <v>0</v>
      </c>
      <c r="P93" s="419">
        <f>SUMIFS('boc xe'!AG$2:AG$27,'boc xe'!$B$2:$B$27,'chia CN boc xe'!$C93)</f>
        <v>0</v>
      </c>
      <c r="Q93" s="419">
        <f>SUMIFS('boc xe'!AH$2:AH$27,'boc xe'!$B$2:$B$27,'chia CN boc xe'!$C93)</f>
        <v>0</v>
      </c>
      <c r="R93" s="419">
        <f>SUMIFS('boc xe'!AI$2:AI$27,'boc xe'!$B$2:$B$27,'chia CN boc xe'!$C93)</f>
        <v>0</v>
      </c>
      <c r="S93" s="419">
        <f>SUMIFS('boc xe'!AJ$2:AJ$27,'boc xe'!$B$2:$B$27,'chia CN boc xe'!$C93)</f>
        <v>0</v>
      </c>
    </row>
    <row r="94" spans="1:19" ht="15.75" customHeight="1">
      <c r="A94" s="421">
        <f t="shared" si="33"/>
        <v>93</v>
      </c>
      <c r="B94" s="555"/>
      <c r="C94" s="421"/>
      <c r="D94" s="419">
        <f>SUMIFS('boc xe'!U$2:U$27,'boc xe'!$B$2:$B$27,'chia CN boc xe'!$C94)</f>
        <v>0</v>
      </c>
      <c r="E94" s="419">
        <f>SUMIFS('boc xe'!V$2:V$27,'boc xe'!$B$2:$B$27,'chia CN boc xe'!$C94)</f>
        <v>0</v>
      </c>
      <c r="F94" s="419">
        <f>SUMIFS('boc xe'!W$2:W$27,'boc xe'!$B$2:$B$27,'chia CN boc xe'!$C94)</f>
        <v>0</v>
      </c>
      <c r="G94" s="419">
        <f>SUMIFS('boc xe'!X$2:X$27,'boc xe'!$B$2:$B$27,'chia CN boc xe'!$C94)</f>
        <v>0</v>
      </c>
      <c r="H94" s="419">
        <f>SUMIFS('boc xe'!Y$2:Y$27,'boc xe'!$B$2:$B$27,'chia CN boc xe'!$C94)</f>
        <v>0</v>
      </c>
      <c r="I94" s="419">
        <f>SUMIFS('boc xe'!Z$2:Z$27,'boc xe'!$B$2:$B$27,'chia CN boc xe'!$C94)</f>
        <v>0</v>
      </c>
      <c r="J94" s="419">
        <f>SUMIFS('boc xe'!AA$2:AA$27,'boc xe'!$B$2:$B$27,'chia CN boc xe'!$C94)</f>
        <v>0</v>
      </c>
      <c r="K94" s="419">
        <f>SUMIFS('boc xe'!AB$2:AB$27,'boc xe'!$B$2:$B$27,'chia CN boc xe'!$C94)</f>
        <v>0</v>
      </c>
      <c r="L94" s="419">
        <f>SUMIFS('boc xe'!AC$2:AC$27,'boc xe'!$B$2:$B$27,'chia CN boc xe'!$C94)</f>
        <v>0</v>
      </c>
      <c r="M94" s="419">
        <f>SUMIFS('boc xe'!AD$2:AD$27,'boc xe'!$B$2:$B$27,'chia CN boc xe'!$C94)</f>
        <v>0</v>
      </c>
      <c r="N94" s="419">
        <f>SUMIFS('boc xe'!AE$2:AE$27,'boc xe'!$B$2:$B$27,'chia CN boc xe'!$C94)</f>
        <v>0</v>
      </c>
      <c r="O94" s="419">
        <f>SUMIFS('boc xe'!AF$2:AF$27,'boc xe'!$B$2:$B$27,'chia CN boc xe'!$C94)</f>
        <v>0</v>
      </c>
      <c r="P94" s="419">
        <f>SUMIFS('boc xe'!AG$2:AG$27,'boc xe'!$B$2:$B$27,'chia CN boc xe'!$C94)</f>
        <v>0</v>
      </c>
      <c r="Q94" s="419">
        <f>SUMIFS('boc xe'!AH$2:AH$27,'boc xe'!$B$2:$B$27,'chia CN boc xe'!$C94)</f>
        <v>0</v>
      </c>
      <c r="R94" s="419">
        <f>SUMIFS('boc xe'!AI$2:AI$27,'boc xe'!$B$2:$B$27,'chia CN boc xe'!$C94)</f>
        <v>0</v>
      </c>
      <c r="S94" s="419">
        <f>SUMIFS('boc xe'!AJ$2:AJ$27,'boc xe'!$B$2:$B$27,'chia CN boc xe'!$C94)</f>
        <v>0</v>
      </c>
    </row>
    <row r="95" spans="1:19" ht="15.75" customHeight="1">
      <c r="A95" s="421">
        <f t="shared" si="33"/>
        <v>94</v>
      </c>
      <c r="B95" s="555"/>
      <c r="C95" s="421"/>
      <c r="D95" s="419">
        <f>SUMIFS('boc xe'!U$2:U$27,'boc xe'!$B$2:$B$27,'chia CN boc xe'!$C95)</f>
        <v>0</v>
      </c>
      <c r="E95" s="419">
        <f>SUMIFS('boc xe'!V$2:V$27,'boc xe'!$B$2:$B$27,'chia CN boc xe'!$C95)</f>
        <v>0</v>
      </c>
      <c r="F95" s="419">
        <f>SUMIFS('boc xe'!W$2:W$27,'boc xe'!$B$2:$B$27,'chia CN boc xe'!$C95)</f>
        <v>0</v>
      </c>
      <c r="G95" s="419">
        <f>SUMIFS('boc xe'!X$2:X$27,'boc xe'!$B$2:$B$27,'chia CN boc xe'!$C95)</f>
        <v>0</v>
      </c>
      <c r="H95" s="419">
        <f>SUMIFS('boc xe'!Y$2:Y$27,'boc xe'!$B$2:$B$27,'chia CN boc xe'!$C95)</f>
        <v>0</v>
      </c>
      <c r="I95" s="419">
        <f>SUMIFS('boc xe'!Z$2:Z$27,'boc xe'!$B$2:$B$27,'chia CN boc xe'!$C95)</f>
        <v>0</v>
      </c>
      <c r="J95" s="419">
        <f>SUMIFS('boc xe'!AA$2:AA$27,'boc xe'!$B$2:$B$27,'chia CN boc xe'!$C95)</f>
        <v>0</v>
      </c>
      <c r="K95" s="419">
        <f>SUMIFS('boc xe'!AB$2:AB$27,'boc xe'!$B$2:$B$27,'chia CN boc xe'!$C95)</f>
        <v>0</v>
      </c>
      <c r="L95" s="419">
        <f>SUMIFS('boc xe'!AC$2:AC$27,'boc xe'!$B$2:$B$27,'chia CN boc xe'!$C95)</f>
        <v>0</v>
      </c>
      <c r="M95" s="419">
        <f>SUMIFS('boc xe'!AD$2:AD$27,'boc xe'!$B$2:$B$27,'chia CN boc xe'!$C95)</f>
        <v>0</v>
      </c>
      <c r="N95" s="419">
        <f>SUMIFS('boc xe'!AE$2:AE$27,'boc xe'!$B$2:$B$27,'chia CN boc xe'!$C95)</f>
        <v>0</v>
      </c>
      <c r="O95" s="419">
        <f>SUMIFS('boc xe'!AF$2:AF$27,'boc xe'!$B$2:$B$27,'chia CN boc xe'!$C95)</f>
        <v>0</v>
      </c>
      <c r="P95" s="419">
        <f>SUMIFS('boc xe'!AG$2:AG$27,'boc xe'!$B$2:$B$27,'chia CN boc xe'!$C95)</f>
        <v>0</v>
      </c>
      <c r="Q95" s="419">
        <f>SUMIFS('boc xe'!AH$2:AH$27,'boc xe'!$B$2:$B$27,'chia CN boc xe'!$C95)</f>
        <v>0</v>
      </c>
      <c r="R95" s="419">
        <f>SUMIFS('boc xe'!AI$2:AI$27,'boc xe'!$B$2:$B$27,'chia CN boc xe'!$C95)</f>
        <v>0</v>
      </c>
      <c r="S95" s="419">
        <f>SUMIFS('boc xe'!AJ$2:AJ$27,'boc xe'!$B$2:$B$27,'chia CN boc xe'!$C95)</f>
        <v>0</v>
      </c>
    </row>
    <row r="96" spans="1:19" ht="15.75" customHeight="1">
      <c r="A96" s="421">
        <f t="shared" si="33"/>
        <v>95</v>
      </c>
      <c r="B96" s="555"/>
      <c r="C96" s="421"/>
      <c r="D96" s="419">
        <f>SUMIFS('boc xe'!U$2:U$27,'boc xe'!$B$2:$B$27,'chia CN boc xe'!$C96)</f>
        <v>0</v>
      </c>
      <c r="E96" s="419">
        <f>SUMIFS('boc xe'!V$2:V$27,'boc xe'!$B$2:$B$27,'chia CN boc xe'!$C96)</f>
        <v>0</v>
      </c>
      <c r="F96" s="419">
        <f>SUMIFS('boc xe'!W$2:W$27,'boc xe'!$B$2:$B$27,'chia CN boc xe'!$C96)</f>
        <v>0</v>
      </c>
      <c r="G96" s="419">
        <f>SUMIFS('boc xe'!X$2:X$27,'boc xe'!$B$2:$B$27,'chia CN boc xe'!$C96)</f>
        <v>0</v>
      </c>
      <c r="H96" s="419">
        <f>SUMIFS('boc xe'!Y$2:Y$27,'boc xe'!$B$2:$B$27,'chia CN boc xe'!$C96)</f>
        <v>0</v>
      </c>
      <c r="I96" s="419">
        <f>SUMIFS('boc xe'!Z$2:Z$27,'boc xe'!$B$2:$B$27,'chia CN boc xe'!$C96)</f>
        <v>0</v>
      </c>
      <c r="J96" s="419">
        <f>SUMIFS('boc xe'!AA$2:AA$27,'boc xe'!$B$2:$B$27,'chia CN boc xe'!$C96)</f>
        <v>0</v>
      </c>
      <c r="K96" s="419">
        <f>SUMIFS('boc xe'!AB$2:AB$27,'boc xe'!$B$2:$B$27,'chia CN boc xe'!$C96)</f>
        <v>0</v>
      </c>
      <c r="L96" s="419">
        <f>SUMIFS('boc xe'!AC$2:AC$27,'boc xe'!$B$2:$B$27,'chia CN boc xe'!$C96)</f>
        <v>0</v>
      </c>
      <c r="M96" s="419">
        <f>SUMIFS('boc xe'!AD$2:AD$27,'boc xe'!$B$2:$B$27,'chia CN boc xe'!$C96)</f>
        <v>0</v>
      </c>
      <c r="N96" s="419">
        <f>SUMIFS('boc xe'!AE$2:AE$27,'boc xe'!$B$2:$B$27,'chia CN boc xe'!$C96)</f>
        <v>0</v>
      </c>
      <c r="O96" s="419">
        <f>SUMIFS('boc xe'!AF$2:AF$27,'boc xe'!$B$2:$B$27,'chia CN boc xe'!$C96)</f>
        <v>0</v>
      </c>
      <c r="P96" s="419">
        <f>SUMIFS('boc xe'!AG$2:AG$27,'boc xe'!$B$2:$B$27,'chia CN boc xe'!$C96)</f>
        <v>0</v>
      </c>
      <c r="Q96" s="419">
        <f>SUMIFS('boc xe'!AH$2:AH$27,'boc xe'!$B$2:$B$27,'chia CN boc xe'!$C96)</f>
        <v>0</v>
      </c>
      <c r="R96" s="419">
        <f>SUMIFS('boc xe'!AI$2:AI$27,'boc xe'!$B$2:$B$27,'chia CN boc xe'!$C96)</f>
        <v>0</v>
      </c>
      <c r="S96" s="419">
        <f>SUMIFS('boc xe'!AJ$2:AJ$27,'boc xe'!$B$2:$B$27,'chia CN boc xe'!$C96)</f>
        <v>0</v>
      </c>
    </row>
    <row r="97" spans="1:19" ht="15.75" customHeight="1">
      <c r="A97" s="421">
        <f t="shared" si="33"/>
        <v>96</v>
      </c>
      <c r="B97" s="555"/>
      <c r="C97" s="421"/>
      <c r="D97" s="419">
        <f>SUMIFS('boc xe'!U$2:U$27,'boc xe'!$B$2:$B$27,'chia CN boc xe'!$C97)</f>
        <v>0</v>
      </c>
      <c r="E97" s="419">
        <f>SUMIFS('boc xe'!V$2:V$27,'boc xe'!$B$2:$B$27,'chia CN boc xe'!$C97)</f>
        <v>0</v>
      </c>
      <c r="F97" s="419">
        <f>SUMIFS('boc xe'!W$2:W$27,'boc xe'!$B$2:$B$27,'chia CN boc xe'!$C97)</f>
        <v>0</v>
      </c>
      <c r="G97" s="419">
        <f>SUMIFS('boc xe'!X$2:X$27,'boc xe'!$B$2:$B$27,'chia CN boc xe'!$C97)</f>
        <v>0</v>
      </c>
      <c r="H97" s="419">
        <f>SUMIFS('boc xe'!Y$2:Y$27,'boc xe'!$B$2:$B$27,'chia CN boc xe'!$C97)</f>
        <v>0</v>
      </c>
      <c r="I97" s="419">
        <f>SUMIFS('boc xe'!Z$2:Z$27,'boc xe'!$B$2:$B$27,'chia CN boc xe'!$C97)</f>
        <v>0</v>
      </c>
      <c r="J97" s="419">
        <f>SUMIFS('boc xe'!AA$2:AA$27,'boc xe'!$B$2:$B$27,'chia CN boc xe'!$C97)</f>
        <v>0</v>
      </c>
      <c r="K97" s="419">
        <f>SUMIFS('boc xe'!AB$2:AB$27,'boc xe'!$B$2:$B$27,'chia CN boc xe'!$C97)</f>
        <v>0</v>
      </c>
      <c r="L97" s="419">
        <f>SUMIFS('boc xe'!AC$2:AC$27,'boc xe'!$B$2:$B$27,'chia CN boc xe'!$C97)</f>
        <v>0</v>
      </c>
      <c r="M97" s="419">
        <f>SUMIFS('boc xe'!AD$2:AD$27,'boc xe'!$B$2:$B$27,'chia CN boc xe'!$C97)</f>
        <v>0</v>
      </c>
      <c r="N97" s="419">
        <f>SUMIFS('boc xe'!AE$2:AE$27,'boc xe'!$B$2:$B$27,'chia CN boc xe'!$C97)</f>
        <v>0</v>
      </c>
      <c r="O97" s="419">
        <f>SUMIFS('boc xe'!AF$2:AF$27,'boc xe'!$B$2:$B$27,'chia CN boc xe'!$C97)</f>
        <v>0</v>
      </c>
      <c r="P97" s="419">
        <f>SUMIFS('boc xe'!AG$2:AG$27,'boc xe'!$B$2:$B$27,'chia CN boc xe'!$C97)</f>
        <v>0</v>
      </c>
      <c r="Q97" s="419">
        <f>SUMIFS('boc xe'!AH$2:AH$27,'boc xe'!$B$2:$B$27,'chia CN boc xe'!$C97)</f>
        <v>0</v>
      </c>
      <c r="R97" s="419">
        <f>SUMIFS('boc xe'!AI$2:AI$27,'boc xe'!$B$2:$B$27,'chia CN boc xe'!$C97)</f>
        <v>0</v>
      </c>
      <c r="S97" s="419">
        <f>SUMIFS('boc xe'!AJ$2:AJ$27,'boc xe'!$B$2:$B$27,'chia CN boc xe'!$C97)</f>
        <v>0</v>
      </c>
    </row>
    <row r="98" spans="1:19" ht="15.75" customHeight="1">
      <c r="A98" s="421">
        <f t="shared" si="33"/>
        <v>97</v>
      </c>
      <c r="B98" s="555"/>
      <c r="C98" s="421"/>
      <c r="D98" s="419">
        <f>SUMIFS('boc xe'!U$2:U$27,'boc xe'!$B$2:$B$27,'chia CN boc xe'!$C98)</f>
        <v>0</v>
      </c>
      <c r="E98" s="419">
        <f>SUMIFS('boc xe'!V$2:V$27,'boc xe'!$B$2:$B$27,'chia CN boc xe'!$C98)</f>
        <v>0</v>
      </c>
      <c r="F98" s="419">
        <f>SUMIFS('boc xe'!W$2:W$27,'boc xe'!$B$2:$B$27,'chia CN boc xe'!$C98)</f>
        <v>0</v>
      </c>
      <c r="G98" s="419">
        <f>SUMIFS('boc xe'!X$2:X$27,'boc xe'!$B$2:$B$27,'chia CN boc xe'!$C98)</f>
        <v>0</v>
      </c>
      <c r="H98" s="419">
        <f>SUMIFS('boc xe'!Y$2:Y$27,'boc xe'!$B$2:$B$27,'chia CN boc xe'!$C98)</f>
        <v>0</v>
      </c>
      <c r="I98" s="419">
        <f>SUMIFS('boc xe'!Z$2:Z$27,'boc xe'!$B$2:$B$27,'chia CN boc xe'!$C98)</f>
        <v>0</v>
      </c>
      <c r="J98" s="419">
        <f>SUMIFS('boc xe'!AA$2:AA$27,'boc xe'!$B$2:$B$27,'chia CN boc xe'!$C98)</f>
        <v>0</v>
      </c>
      <c r="K98" s="419">
        <f>SUMIFS('boc xe'!AB$2:AB$27,'boc xe'!$B$2:$B$27,'chia CN boc xe'!$C98)</f>
        <v>0</v>
      </c>
      <c r="L98" s="419">
        <f>SUMIFS('boc xe'!AC$2:AC$27,'boc xe'!$B$2:$B$27,'chia CN boc xe'!$C98)</f>
        <v>0</v>
      </c>
      <c r="M98" s="419">
        <f>SUMIFS('boc xe'!AD$2:AD$27,'boc xe'!$B$2:$B$27,'chia CN boc xe'!$C98)</f>
        <v>0</v>
      </c>
      <c r="N98" s="419">
        <f>SUMIFS('boc xe'!AE$2:AE$27,'boc xe'!$B$2:$B$27,'chia CN boc xe'!$C98)</f>
        <v>0</v>
      </c>
      <c r="O98" s="419">
        <f>SUMIFS('boc xe'!AF$2:AF$27,'boc xe'!$B$2:$B$27,'chia CN boc xe'!$C98)</f>
        <v>0</v>
      </c>
      <c r="P98" s="419">
        <f>SUMIFS('boc xe'!AG$2:AG$27,'boc xe'!$B$2:$B$27,'chia CN boc xe'!$C98)</f>
        <v>0</v>
      </c>
      <c r="Q98" s="419">
        <f>SUMIFS('boc xe'!AH$2:AH$27,'boc xe'!$B$2:$B$27,'chia CN boc xe'!$C98)</f>
        <v>0</v>
      </c>
      <c r="R98" s="419">
        <f>SUMIFS('boc xe'!AI$2:AI$27,'boc xe'!$B$2:$B$27,'chia CN boc xe'!$C98)</f>
        <v>0</v>
      </c>
      <c r="S98" s="419">
        <f>SUMIFS('boc xe'!AJ$2:AJ$27,'boc xe'!$B$2:$B$27,'chia CN boc xe'!$C98)</f>
        <v>0</v>
      </c>
    </row>
    <row r="99" spans="1:19" ht="15.75" customHeight="1">
      <c r="A99" s="421">
        <f t="shared" si="33"/>
        <v>98</v>
      </c>
      <c r="B99" s="555"/>
      <c r="C99" s="421"/>
      <c r="D99" s="419">
        <f>SUMIFS('boc xe'!U$2:U$27,'boc xe'!$B$2:$B$27,'chia CN boc xe'!$C99)</f>
        <v>0</v>
      </c>
      <c r="E99" s="419">
        <f>SUMIFS('boc xe'!V$2:V$27,'boc xe'!$B$2:$B$27,'chia CN boc xe'!$C99)</f>
        <v>0</v>
      </c>
      <c r="F99" s="419">
        <f>SUMIFS('boc xe'!W$2:W$27,'boc xe'!$B$2:$B$27,'chia CN boc xe'!$C99)</f>
        <v>0</v>
      </c>
      <c r="G99" s="419">
        <f>SUMIFS('boc xe'!X$2:X$27,'boc xe'!$B$2:$B$27,'chia CN boc xe'!$C99)</f>
        <v>0</v>
      </c>
      <c r="H99" s="419">
        <f>SUMIFS('boc xe'!Y$2:Y$27,'boc xe'!$B$2:$B$27,'chia CN boc xe'!$C99)</f>
        <v>0</v>
      </c>
      <c r="I99" s="419">
        <f>SUMIFS('boc xe'!Z$2:Z$27,'boc xe'!$B$2:$B$27,'chia CN boc xe'!$C99)</f>
        <v>0</v>
      </c>
      <c r="J99" s="419">
        <f>SUMIFS('boc xe'!AA$2:AA$27,'boc xe'!$B$2:$B$27,'chia CN boc xe'!$C99)</f>
        <v>0</v>
      </c>
      <c r="K99" s="419">
        <f>SUMIFS('boc xe'!AB$2:AB$27,'boc xe'!$B$2:$B$27,'chia CN boc xe'!$C99)</f>
        <v>0</v>
      </c>
      <c r="L99" s="419">
        <f>SUMIFS('boc xe'!AC$2:AC$27,'boc xe'!$B$2:$B$27,'chia CN boc xe'!$C99)</f>
        <v>0</v>
      </c>
      <c r="M99" s="419">
        <f>SUMIFS('boc xe'!AD$2:AD$27,'boc xe'!$B$2:$B$27,'chia CN boc xe'!$C99)</f>
        <v>0</v>
      </c>
      <c r="N99" s="419">
        <f>SUMIFS('boc xe'!AE$2:AE$27,'boc xe'!$B$2:$B$27,'chia CN boc xe'!$C99)</f>
        <v>0</v>
      </c>
      <c r="O99" s="419">
        <f>SUMIFS('boc xe'!AF$2:AF$27,'boc xe'!$B$2:$B$27,'chia CN boc xe'!$C99)</f>
        <v>0</v>
      </c>
      <c r="P99" s="419">
        <f>SUMIFS('boc xe'!AG$2:AG$27,'boc xe'!$B$2:$B$27,'chia CN boc xe'!$C99)</f>
        <v>0</v>
      </c>
      <c r="Q99" s="419">
        <f>SUMIFS('boc xe'!AH$2:AH$27,'boc xe'!$B$2:$B$27,'chia CN boc xe'!$C99)</f>
        <v>0</v>
      </c>
      <c r="R99" s="419">
        <f>SUMIFS('boc xe'!AI$2:AI$27,'boc xe'!$B$2:$B$27,'chia CN boc xe'!$C99)</f>
        <v>0</v>
      </c>
      <c r="S99" s="419">
        <f>SUMIFS('boc xe'!AJ$2:AJ$27,'boc xe'!$B$2:$B$27,'chia CN boc xe'!$C99)</f>
        <v>0</v>
      </c>
    </row>
    <row r="100" spans="1:19" ht="15.75" customHeight="1">
      <c r="A100" s="421">
        <f t="shared" si="33"/>
        <v>99</v>
      </c>
      <c r="B100" s="555"/>
      <c r="C100" s="421"/>
      <c r="D100" s="419">
        <f>SUMIFS('boc xe'!U$2:U$27,'boc xe'!$B$2:$B$27,'chia CN boc xe'!$C100)</f>
        <v>0</v>
      </c>
      <c r="E100" s="419">
        <f>SUMIFS('boc xe'!V$2:V$27,'boc xe'!$B$2:$B$27,'chia CN boc xe'!$C100)</f>
        <v>0</v>
      </c>
      <c r="F100" s="419">
        <f>SUMIFS('boc xe'!W$2:W$27,'boc xe'!$B$2:$B$27,'chia CN boc xe'!$C100)</f>
        <v>0</v>
      </c>
      <c r="G100" s="419">
        <f>SUMIFS('boc xe'!X$2:X$27,'boc xe'!$B$2:$B$27,'chia CN boc xe'!$C100)</f>
        <v>0</v>
      </c>
      <c r="H100" s="419">
        <f>SUMIFS('boc xe'!Y$2:Y$27,'boc xe'!$B$2:$B$27,'chia CN boc xe'!$C100)</f>
        <v>0</v>
      </c>
      <c r="I100" s="419">
        <f>SUMIFS('boc xe'!Z$2:Z$27,'boc xe'!$B$2:$B$27,'chia CN boc xe'!$C100)</f>
        <v>0</v>
      </c>
      <c r="J100" s="419">
        <f>SUMIFS('boc xe'!AA$2:AA$27,'boc xe'!$B$2:$B$27,'chia CN boc xe'!$C100)</f>
        <v>0</v>
      </c>
      <c r="K100" s="419">
        <f>SUMIFS('boc xe'!AB$2:AB$27,'boc xe'!$B$2:$B$27,'chia CN boc xe'!$C100)</f>
        <v>0</v>
      </c>
      <c r="L100" s="419">
        <f>SUMIFS('boc xe'!AC$2:AC$27,'boc xe'!$B$2:$B$27,'chia CN boc xe'!$C100)</f>
        <v>0</v>
      </c>
      <c r="M100" s="419">
        <f>SUMIFS('boc xe'!AD$2:AD$27,'boc xe'!$B$2:$B$27,'chia CN boc xe'!$C100)</f>
        <v>0</v>
      </c>
      <c r="N100" s="419">
        <f>SUMIFS('boc xe'!AE$2:AE$27,'boc xe'!$B$2:$B$27,'chia CN boc xe'!$C100)</f>
        <v>0</v>
      </c>
      <c r="O100" s="419">
        <f>SUMIFS('boc xe'!AF$2:AF$27,'boc xe'!$B$2:$B$27,'chia CN boc xe'!$C100)</f>
        <v>0</v>
      </c>
      <c r="P100" s="419">
        <f>SUMIFS('boc xe'!AG$2:AG$27,'boc xe'!$B$2:$B$27,'chia CN boc xe'!$C100)</f>
        <v>0</v>
      </c>
      <c r="Q100" s="419">
        <f>SUMIFS('boc xe'!AH$2:AH$27,'boc xe'!$B$2:$B$27,'chia CN boc xe'!$C100)</f>
        <v>0</v>
      </c>
      <c r="R100" s="419">
        <f>SUMIFS('boc xe'!AI$2:AI$27,'boc xe'!$B$2:$B$27,'chia CN boc xe'!$C100)</f>
        <v>0</v>
      </c>
      <c r="S100" s="419">
        <f>SUMIFS('boc xe'!AJ$2:AJ$27,'boc xe'!$B$2:$B$27,'chia CN boc xe'!$C100)</f>
        <v>0</v>
      </c>
    </row>
    <row r="101" spans="1:19" ht="15.75" customHeight="1">
      <c r="A101" s="421">
        <f t="shared" si="33"/>
        <v>100</v>
      </c>
      <c r="B101" s="555"/>
      <c r="C101" s="421"/>
      <c r="D101" s="419">
        <f>SUMIFS('boc xe'!U$2:U$27,'boc xe'!$B$2:$B$27,'chia CN boc xe'!$C101)</f>
        <v>0</v>
      </c>
      <c r="E101" s="419">
        <f>SUMIFS('boc xe'!V$2:V$27,'boc xe'!$B$2:$B$27,'chia CN boc xe'!$C101)</f>
        <v>0</v>
      </c>
      <c r="F101" s="419">
        <f>SUMIFS('boc xe'!W$2:W$27,'boc xe'!$B$2:$B$27,'chia CN boc xe'!$C101)</f>
        <v>0</v>
      </c>
      <c r="G101" s="419">
        <f>SUMIFS('boc xe'!X$2:X$27,'boc xe'!$B$2:$B$27,'chia CN boc xe'!$C101)</f>
        <v>0</v>
      </c>
      <c r="H101" s="419">
        <f>SUMIFS('boc xe'!Y$2:Y$27,'boc xe'!$B$2:$B$27,'chia CN boc xe'!$C101)</f>
        <v>0</v>
      </c>
      <c r="I101" s="419">
        <f>SUMIFS('boc xe'!Z$2:Z$27,'boc xe'!$B$2:$B$27,'chia CN boc xe'!$C101)</f>
        <v>0</v>
      </c>
      <c r="J101" s="419">
        <f>SUMIFS('boc xe'!AA$2:AA$27,'boc xe'!$B$2:$B$27,'chia CN boc xe'!$C101)</f>
        <v>0</v>
      </c>
      <c r="K101" s="419">
        <f>SUMIFS('boc xe'!AB$2:AB$27,'boc xe'!$B$2:$B$27,'chia CN boc xe'!$C101)</f>
        <v>0</v>
      </c>
      <c r="L101" s="419">
        <f>SUMIFS('boc xe'!AC$2:AC$27,'boc xe'!$B$2:$B$27,'chia CN boc xe'!$C101)</f>
        <v>0</v>
      </c>
      <c r="M101" s="419">
        <f>SUMIFS('boc xe'!AD$2:AD$27,'boc xe'!$B$2:$B$27,'chia CN boc xe'!$C101)</f>
        <v>0</v>
      </c>
      <c r="N101" s="419">
        <f>SUMIFS('boc xe'!AE$2:AE$27,'boc xe'!$B$2:$B$27,'chia CN boc xe'!$C101)</f>
        <v>0</v>
      </c>
      <c r="O101" s="419">
        <f>SUMIFS('boc xe'!AF$2:AF$27,'boc xe'!$B$2:$B$27,'chia CN boc xe'!$C101)</f>
        <v>0</v>
      </c>
      <c r="P101" s="419">
        <f>SUMIFS('boc xe'!AG$2:AG$27,'boc xe'!$B$2:$B$27,'chia CN boc xe'!$C101)</f>
        <v>0</v>
      </c>
      <c r="Q101" s="419">
        <f>SUMIFS('boc xe'!AH$2:AH$27,'boc xe'!$B$2:$B$27,'chia CN boc xe'!$C101)</f>
        <v>0</v>
      </c>
      <c r="R101" s="419">
        <f>SUMIFS('boc xe'!AI$2:AI$27,'boc xe'!$B$2:$B$27,'chia CN boc xe'!$C101)</f>
        <v>0</v>
      </c>
      <c r="S101" s="419">
        <f>SUMIFS('boc xe'!AJ$2:AJ$27,'boc xe'!$B$2:$B$27,'chia CN boc xe'!$C101)</f>
        <v>0</v>
      </c>
    </row>
    <row r="102" spans="1:19" ht="15.75" customHeight="1">
      <c r="A102" s="421">
        <f t="shared" si="33"/>
        <v>101</v>
      </c>
      <c r="B102" s="555"/>
      <c r="C102" s="421"/>
      <c r="D102" s="419">
        <f>SUMIFS('boc xe'!U$2:U$27,'boc xe'!$B$2:$B$27,'chia CN boc xe'!$C102)</f>
        <v>0</v>
      </c>
      <c r="E102" s="419">
        <f>SUMIFS('boc xe'!V$2:V$27,'boc xe'!$B$2:$B$27,'chia CN boc xe'!$C102)</f>
        <v>0</v>
      </c>
      <c r="F102" s="419">
        <f>SUMIFS('boc xe'!W$2:W$27,'boc xe'!$B$2:$B$27,'chia CN boc xe'!$C102)</f>
        <v>0</v>
      </c>
      <c r="G102" s="419">
        <f>SUMIFS('boc xe'!X$2:X$27,'boc xe'!$B$2:$B$27,'chia CN boc xe'!$C102)</f>
        <v>0</v>
      </c>
      <c r="H102" s="419">
        <f>SUMIFS('boc xe'!Y$2:Y$27,'boc xe'!$B$2:$B$27,'chia CN boc xe'!$C102)</f>
        <v>0</v>
      </c>
      <c r="I102" s="419">
        <f>SUMIFS('boc xe'!Z$2:Z$27,'boc xe'!$B$2:$B$27,'chia CN boc xe'!$C102)</f>
        <v>0</v>
      </c>
      <c r="J102" s="419">
        <f>SUMIFS('boc xe'!AA$2:AA$27,'boc xe'!$B$2:$B$27,'chia CN boc xe'!$C102)</f>
        <v>0</v>
      </c>
      <c r="K102" s="419">
        <f>SUMIFS('boc xe'!AB$2:AB$27,'boc xe'!$B$2:$B$27,'chia CN boc xe'!$C102)</f>
        <v>0</v>
      </c>
      <c r="L102" s="419">
        <f>SUMIFS('boc xe'!AC$2:AC$27,'boc xe'!$B$2:$B$27,'chia CN boc xe'!$C102)</f>
        <v>0</v>
      </c>
      <c r="M102" s="419">
        <f>SUMIFS('boc xe'!AD$2:AD$27,'boc xe'!$B$2:$B$27,'chia CN boc xe'!$C102)</f>
        <v>0</v>
      </c>
      <c r="N102" s="419">
        <f>SUMIFS('boc xe'!AE$2:AE$27,'boc xe'!$B$2:$B$27,'chia CN boc xe'!$C102)</f>
        <v>0</v>
      </c>
      <c r="O102" s="419">
        <f>SUMIFS('boc xe'!AF$2:AF$27,'boc xe'!$B$2:$B$27,'chia CN boc xe'!$C102)</f>
        <v>0</v>
      </c>
      <c r="P102" s="419">
        <f>SUMIFS('boc xe'!AG$2:AG$27,'boc xe'!$B$2:$B$27,'chia CN boc xe'!$C102)</f>
        <v>0</v>
      </c>
      <c r="Q102" s="419">
        <f>SUMIFS('boc xe'!AH$2:AH$27,'boc xe'!$B$2:$B$27,'chia CN boc xe'!$C102)</f>
        <v>0</v>
      </c>
      <c r="R102" s="419">
        <f>SUMIFS('boc xe'!AI$2:AI$27,'boc xe'!$B$2:$B$27,'chia CN boc xe'!$C102)</f>
        <v>0</v>
      </c>
      <c r="S102" s="419">
        <f>SUMIFS('boc xe'!AJ$2:AJ$27,'boc xe'!$B$2:$B$27,'chia CN boc xe'!$C102)</f>
        <v>0</v>
      </c>
    </row>
    <row r="103" spans="1:19" ht="15.75" customHeight="1">
      <c r="A103" s="421">
        <f t="shared" si="33"/>
        <v>102</v>
      </c>
      <c r="B103" s="555"/>
      <c r="C103" s="421"/>
      <c r="D103" s="419">
        <f>SUMIFS('boc xe'!U$2:U$27,'boc xe'!$B$2:$B$27,'chia CN boc xe'!$C103)</f>
        <v>0</v>
      </c>
      <c r="E103" s="419">
        <f>SUMIFS('boc xe'!V$2:V$27,'boc xe'!$B$2:$B$27,'chia CN boc xe'!$C103)</f>
        <v>0</v>
      </c>
      <c r="F103" s="419">
        <f>SUMIFS('boc xe'!W$2:W$27,'boc xe'!$B$2:$B$27,'chia CN boc xe'!$C103)</f>
        <v>0</v>
      </c>
      <c r="G103" s="419">
        <f>SUMIFS('boc xe'!X$2:X$27,'boc xe'!$B$2:$B$27,'chia CN boc xe'!$C103)</f>
        <v>0</v>
      </c>
      <c r="H103" s="419">
        <f>SUMIFS('boc xe'!Y$2:Y$27,'boc xe'!$B$2:$B$27,'chia CN boc xe'!$C103)</f>
        <v>0</v>
      </c>
      <c r="I103" s="419">
        <f>SUMIFS('boc xe'!Z$2:Z$27,'boc xe'!$B$2:$B$27,'chia CN boc xe'!$C103)</f>
        <v>0</v>
      </c>
      <c r="J103" s="419">
        <f>SUMIFS('boc xe'!AA$2:AA$27,'boc xe'!$B$2:$B$27,'chia CN boc xe'!$C103)</f>
        <v>0</v>
      </c>
      <c r="K103" s="419">
        <f>SUMIFS('boc xe'!AB$2:AB$27,'boc xe'!$B$2:$B$27,'chia CN boc xe'!$C103)</f>
        <v>0</v>
      </c>
      <c r="L103" s="419">
        <f>SUMIFS('boc xe'!AC$2:AC$27,'boc xe'!$B$2:$B$27,'chia CN boc xe'!$C103)</f>
        <v>0</v>
      </c>
      <c r="M103" s="419">
        <f>SUMIFS('boc xe'!AD$2:AD$27,'boc xe'!$B$2:$B$27,'chia CN boc xe'!$C103)</f>
        <v>0</v>
      </c>
      <c r="N103" s="419">
        <f>SUMIFS('boc xe'!AE$2:AE$27,'boc xe'!$B$2:$B$27,'chia CN boc xe'!$C103)</f>
        <v>0</v>
      </c>
      <c r="O103" s="419">
        <f>SUMIFS('boc xe'!AF$2:AF$27,'boc xe'!$B$2:$B$27,'chia CN boc xe'!$C103)</f>
        <v>0</v>
      </c>
      <c r="P103" s="419">
        <f>SUMIFS('boc xe'!AG$2:AG$27,'boc xe'!$B$2:$B$27,'chia CN boc xe'!$C103)</f>
        <v>0</v>
      </c>
      <c r="Q103" s="419">
        <f>SUMIFS('boc xe'!AH$2:AH$27,'boc xe'!$B$2:$B$27,'chia CN boc xe'!$C103)</f>
        <v>0</v>
      </c>
      <c r="R103" s="419">
        <f>SUMIFS('boc xe'!AI$2:AI$27,'boc xe'!$B$2:$B$27,'chia CN boc xe'!$C103)</f>
        <v>0</v>
      </c>
      <c r="S103" s="419">
        <f>SUMIFS('boc xe'!AJ$2:AJ$27,'boc xe'!$B$2:$B$27,'chia CN boc xe'!$C103)</f>
        <v>0</v>
      </c>
    </row>
    <row r="104" spans="1:19" ht="15.75" customHeight="1">
      <c r="A104" s="421">
        <f t="shared" si="33"/>
        <v>103</v>
      </c>
      <c r="B104" s="555"/>
      <c r="C104" s="421"/>
      <c r="D104" s="419">
        <f>SUMIFS('boc xe'!U$2:U$27,'boc xe'!$B$2:$B$27,'chia CN boc xe'!$C104)</f>
        <v>0</v>
      </c>
      <c r="E104" s="419">
        <f>SUMIFS('boc xe'!V$2:V$27,'boc xe'!$B$2:$B$27,'chia CN boc xe'!$C104)</f>
        <v>0</v>
      </c>
      <c r="F104" s="419">
        <f>SUMIFS('boc xe'!W$2:W$27,'boc xe'!$B$2:$B$27,'chia CN boc xe'!$C104)</f>
        <v>0</v>
      </c>
      <c r="G104" s="419">
        <f>SUMIFS('boc xe'!X$2:X$27,'boc xe'!$B$2:$B$27,'chia CN boc xe'!$C104)</f>
        <v>0</v>
      </c>
      <c r="H104" s="419">
        <f>SUMIFS('boc xe'!Y$2:Y$27,'boc xe'!$B$2:$B$27,'chia CN boc xe'!$C104)</f>
        <v>0</v>
      </c>
      <c r="I104" s="419">
        <f>SUMIFS('boc xe'!Z$2:Z$27,'boc xe'!$B$2:$B$27,'chia CN boc xe'!$C104)</f>
        <v>0</v>
      </c>
      <c r="J104" s="419">
        <f>SUMIFS('boc xe'!AA$2:AA$27,'boc xe'!$B$2:$B$27,'chia CN boc xe'!$C104)</f>
        <v>0</v>
      </c>
      <c r="K104" s="419">
        <f>SUMIFS('boc xe'!AB$2:AB$27,'boc xe'!$B$2:$B$27,'chia CN boc xe'!$C104)</f>
        <v>0</v>
      </c>
      <c r="L104" s="419">
        <f>SUMIFS('boc xe'!AC$2:AC$27,'boc xe'!$B$2:$B$27,'chia CN boc xe'!$C104)</f>
        <v>0</v>
      </c>
      <c r="M104" s="419">
        <f>SUMIFS('boc xe'!AD$2:AD$27,'boc xe'!$B$2:$B$27,'chia CN boc xe'!$C104)</f>
        <v>0</v>
      </c>
      <c r="N104" s="419">
        <f>SUMIFS('boc xe'!AE$2:AE$27,'boc xe'!$B$2:$B$27,'chia CN boc xe'!$C104)</f>
        <v>0</v>
      </c>
      <c r="O104" s="419">
        <f>SUMIFS('boc xe'!AF$2:AF$27,'boc xe'!$B$2:$B$27,'chia CN boc xe'!$C104)</f>
        <v>0</v>
      </c>
      <c r="P104" s="419">
        <f>SUMIFS('boc xe'!AG$2:AG$27,'boc xe'!$B$2:$B$27,'chia CN boc xe'!$C104)</f>
        <v>0</v>
      </c>
      <c r="Q104" s="419">
        <f>SUMIFS('boc xe'!AH$2:AH$27,'boc xe'!$B$2:$B$27,'chia CN boc xe'!$C104)</f>
        <v>0</v>
      </c>
      <c r="R104" s="419">
        <f>SUMIFS('boc xe'!AI$2:AI$27,'boc xe'!$B$2:$B$27,'chia CN boc xe'!$C104)</f>
        <v>0</v>
      </c>
      <c r="S104" s="419">
        <f>SUMIFS('boc xe'!AJ$2:AJ$27,'boc xe'!$B$2:$B$27,'chia CN boc xe'!$C104)</f>
        <v>0</v>
      </c>
    </row>
    <row r="105" spans="1:19" ht="15.75" customHeight="1">
      <c r="A105" s="421">
        <f t="shared" si="33"/>
        <v>104</v>
      </c>
      <c r="B105" s="555"/>
      <c r="C105" s="421"/>
      <c r="D105" s="419">
        <f>SUMIFS('boc xe'!U$2:U$27,'boc xe'!$B$2:$B$27,'chia CN boc xe'!$C105)</f>
        <v>0</v>
      </c>
      <c r="E105" s="419">
        <f>SUMIFS('boc xe'!V$2:V$27,'boc xe'!$B$2:$B$27,'chia CN boc xe'!$C105)</f>
        <v>0</v>
      </c>
      <c r="F105" s="419">
        <f>SUMIFS('boc xe'!W$2:W$27,'boc xe'!$B$2:$B$27,'chia CN boc xe'!$C105)</f>
        <v>0</v>
      </c>
      <c r="G105" s="419">
        <f>SUMIFS('boc xe'!X$2:X$27,'boc xe'!$B$2:$B$27,'chia CN boc xe'!$C105)</f>
        <v>0</v>
      </c>
      <c r="H105" s="419">
        <f>SUMIFS('boc xe'!Y$2:Y$27,'boc xe'!$B$2:$B$27,'chia CN boc xe'!$C105)</f>
        <v>0</v>
      </c>
      <c r="I105" s="419">
        <f>SUMIFS('boc xe'!Z$2:Z$27,'boc xe'!$B$2:$B$27,'chia CN boc xe'!$C105)</f>
        <v>0</v>
      </c>
      <c r="J105" s="419">
        <f>SUMIFS('boc xe'!AA$2:AA$27,'boc xe'!$B$2:$B$27,'chia CN boc xe'!$C105)</f>
        <v>0</v>
      </c>
      <c r="K105" s="419">
        <f>SUMIFS('boc xe'!AB$2:AB$27,'boc xe'!$B$2:$B$27,'chia CN boc xe'!$C105)</f>
        <v>0</v>
      </c>
      <c r="L105" s="419">
        <f>SUMIFS('boc xe'!AC$2:AC$27,'boc xe'!$B$2:$B$27,'chia CN boc xe'!$C105)</f>
        <v>0</v>
      </c>
      <c r="M105" s="419">
        <f>SUMIFS('boc xe'!AD$2:AD$27,'boc xe'!$B$2:$B$27,'chia CN boc xe'!$C105)</f>
        <v>0</v>
      </c>
      <c r="N105" s="419">
        <f>SUMIFS('boc xe'!AE$2:AE$27,'boc xe'!$B$2:$B$27,'chia CN boc xe'!$C105)</f>
        <v>0</v>
      </c>
      <c r="O105" s="419">
        <f>SUMIFS('boc xe'!AF$2:AF$27,'boc xe'!$B$2:$B$27,'chia CN boc xe'!$C105)</f>
        <v>0</v>
      </c>
      <c r="P105" s="419">
        <f>SUMIFS('boc xe'!AG$2:AG$27,'boc xe'!$B$2:$B$27,'chia CN boc xe'!$C105)</f>
        <v>0</v>
      </c>
      <c r="Q105" s="419">
        <f>SUMIFS('boc xe'!AH$2:AH$27,'boc xe'!$B$2:$B$27,'chia CN boc xe'!$C105)</f>
        <v>0</v>
      </c>
      <c r="R105" s="419">
        <f>SUMIFS('boc xe'!AI$2:AI$27,'boc xe'!$B$2:$B$27,'chia CN boc xe'!$C105)</f>
        <v>0</v>
      </c>
      <c r="S105" s="419">
        <f>SUMIFS('boc xe'!AJ$2:AJ$27,'boc xe'!$B$2:$B$27,'chia CN boc xe'!$C105)</f>
        <v>0</v>
      </c>
    </row>
    <row r="106" spans="1:19" ht="15.75" customHeight="1">
      <c r="A106" s="421">
        <f t="shared" si="33"/>
        <v>105</v>
      </c>
      <c r="B106" s="555"/>
      <c r="C106" s="421"/>
      <c r="D106" s="419">
        <f>SUMIFS('boc xe'!U$2:U$27,'boc xe'!$B$2:$B$27,'chia CN boc xe'!$C106)</f>
        <v>0</v>
      </c>
      <c r="E106" s="419">
        <f>SUMIFS('boc xe'!V$2:V$27,'boc xe'!$B$2:$B$27,'chia CN boc xe'!$C106)</f>
        <v>0</v>
      </c>
      <c r="F106" s="419">
        <f>SUMIFS('boc xe'!W$2:W$27,'boc xe'!$B$2:$B$27,'chia CN boc xe'!$C106)</f>
        <v>0</v>
      </c>
      <c r="G106" s="419">
        <f>SUMIFS('boc xe'!X$2:X$27,'boc xe'!$B$2:$B$27,'chia CN boc xe'!$C106)</f>
        <v>0</v>
      </c>
      <c r="H106" s="419">
        <f>SUMIFS('boc xe'!Y$2:Y$27,'boc xe'!$B$2:$B$27,'chia CN boc xe'!$C106)</f>
        <v>0</v>
      </c>
      <c r="I106" s="419">
        <f>SUMIFS('boc xe'!Z$2:Z$27,'boc xe'!$B$2:$B$27,'chia CN boc xe'!$C106)</f>
        <v>0</v>
      </c>
      <c r="J106" s="419">
        <f>SUMIFS('boc xe'!AA$2:AA$27,'boc xe'!$B$2:$B$27,'chia CN boc xe'!$C106)</f>
        <v>0</v>
      </c>
      <c r="K106" s="419">
        <f>SUMIFS('boc xe'!AB$2:AB$27,'boc xe'!$B$2:$B$27,'chia CN boc xe'!$C106)</f>
        <v>0</v>
      </c>
      <c r="L106" s="419">
        <f>SUMIFS('boc xe'!AC$2:AC$27,'boc xe'!$B$2:$B$27,'chia CN boc xe'!$C106)</f>
        <v>0</v>
      </c>
      <c r="M106" s="419">
        <f>SUMIFS('boc xe'!AD$2:AD$27,'boc xe'!$B$2:$B$27,'chia CN boc xe'!$C106)</f>
        <v>0</v>
      </c>
      <c r="N106" s="419">
        <f>SUMIFS('boc xe'!AE$2:AE$27,'boc xe'!$B$2:$B$27,'chia CN boc xe'!$C106)</f>
        <v>0</v>
      </c>
      <c r="O106" s="419">
        <f>SUMIFS('boc xe'!AF$2:AF$27,'boc xe'!$B$2:$B$27,'chia CN boc xe'!$C106)</f>
        <v>0</v>
      </c>
      <c r="P106" s="419">
        <f>SUMIFS('boc xe'!AG$2:AG$27,'boc xe'!$B$2:$B$27,'chia CN boc xe'!$C106)</f>
        <v>0</v>
      </c>
      <c r="Q106" s="419">
        <f>SUMIFS('boc xe'!AH$2:AH$27,'boc xe'!$B$2:$B$27,'chia CN boc xe'!$C106)</f>
        <v>0</v>
      </c>
      <c r="R106" s="419">
        <f>SUMIFS('boc xe'!AI$2:AI$27,'boc xe'!$B$2:$B$27,'chia CN boc xe'!$C106)</f>
        <v>0</v>
      </c>
      <c r="S106" s="419">
        <f>SUMIFS('boc xe'!AJ$2:AJ$27,'boc xe'!$B$2:$B$27,'chia CN boc xe'!$C106)</f>
        <v>0</v>
      </c>
    </row>
    <row r="107" spans="1:19" ht="15.75" customHeight="1">
      <c r="A107" s="421">
        <f t="shared" si="33"/>
        <v>106</v>
      </c>
      <c r="B107" s="555"/>
      <c r="C107" s="421"/>
      <c r="D107" s="419">
        <f>SUMIFS('boc xe'!U$2:U$27,'boc xe'!$B$2:$B$27,'chia CN boc xe'!$C107)</f>
        <v>0</v>
      </c>
      <c r="E107" s="419">
        <f>SUMIFS('boc xe'!V$2:V$27,'boc xe'!$B$2:$B$27,'chia CN boc xe'!$C107)</f>
        <v>0</v>
      </c>
      <c r="F107" s="419">
        <f>SUMIFS('boc xe'!W$2:W$27,'boc xe'!$B$2:$B$27,'chia CN boc xe'!$C107)</f>
        <v>0</v>
      </c>
      <c r="G107" s="419">
        <f>SUMIFS('boc xe'!X$2:X$27,'boc xe'!$B$2:$B$27,'chia CN boc xe'!$C107)</f>
        <v>0</v>
      </c>
      <c r="H107" s="419">
        <f>SUMIFS('boc xe'!Y$2:Y$27,'boc xe'!$B$2:$B$27,'chia CN boc xe'!$C107)</f>
        <v>0</v>
      </c>
      <c r="I107" s="419">
        <f>SUMIFS('boc xe'!Z$2:Z$27,'boc xe'!$B$2:$B$27,'chia CN boc xe'!$C107)</f>
        <v>0</v>
      </c>
      <c r="J107" s="419">
        <f>SUMIFS('boc xe'!AA$2:AA$27,'boc xe'!$B$2:$B$27,'chia CN boc xe'!$C107)</f>
        <v>0</v>
      </c>
      <c r="K107" s="419">
        <f>SUMIFS('boc xe'!AB$2:AB$27,'boc xe'!$B$2:$B$27,'chia CN boc xe'!$C107)</f>
        <v>0</v>
      </c>
      <c r="L107" s="419">
        <f>SUMIFS('boc xe'!AC$2:AC$27,'boc xe'!$B$2:$B$27,'chia CN boc xe'!$C107)</f>
        <v>0</v>
      </c>
      <c r="M107" s="419">
        <f>SUMIFS('boc xe'!AD$2:AD$27,'boc xe'!$B$2:$B$27,'chia CN boc xe'!$C107)</f>
        <v>0</v>
      </c>
      <c r="N107" s="419">
        <f>SUMIFS('boc xe'!AE$2:AE$27,'boc xe'!$B$2:$B$27,'chia CN boc xe'!$C107)</f>
        <v>0</v>
      </c>
      <c r="O107" s="419">
        <f>SUMIFS('boc xe'!AF$2:AF$27,'boc xe'!$B$2:$B$27,'chia CN boc xe'!$C107)</f>
        <v>0</v>
      </c>
      <c r="P107" s="419">
        <f>SUMIFS('boc xe'!AG$2:AG$27,'boc xe'!$B$2:$B$27,'chia CN boc xe'!$C107)</f>
        <v>0</v>
      </c>
      <c r="Q107" s="419">
        <f>SUMIFS('boc xe'!AH$2:AH$27,'boc xe'!$B$2:$B$27,'chia CN boc xe'!$C107)</f>
        <v>0</v>
      </c>
      <c r="R107" s="419">
        <f>SUMIFS('boc xe'!AI$2:AI$27,'boc xe'!$B$2:$B$27,'chia CN boc xe'!$C107)</f>
        <v>0</v>
      </c>
      <c r="S107" s="419">
        <f>SUMIFS('boc xe'!AJ$2:AJ$27,'boc xe'!$B$2:$B$27,'chia CN boc xe'!$C107)</f>
        <v>0</v>
      </c>
    </row>
    <row r="108" spans="1:19" ht="15.75" customHeight="1">
      <c r="A108" s="421">
        <f t="shared" si="33"/>
        <v>107</v>
      </c>
      <c r="B108" s="555"/>
      <c r="C108" s="421"/>
      <c r="D108" s="419">
        <f>SUMIFS('boc xe'!U$2:U$27,'boc xe'!$B$2:$B$27,'chia CN boc xe'!$C108)</f>
        <v>0</v>
      </c>
      <c r="E108" s="419">
        <f>SUMIFS('boc xe'!V$2:V$27,'boc xe'!$B$2:$B$27,'chia CN boc xe'!$C108)</f>
        <v>0</v>
      </c>
      <c r="F108" s="419">
        <f>SUMIFS('boc xe'!W$2:W$27,'boc xe'!$B$2:$B$27,'chia CN boc xe'!$C108)</f>
        <v>0</v>
      </c>
      <c r="G108" s="419">
        <f>SUMIFS('boc xe'!X$2:X$27,'boc xe'!$B$2:$B$27,'chia CN boc xe'!$C108)</f>
        <v>0</v>
      </c>
      <c r="H108" s="419">
        <f>SUMIFS('boc xe'!Y$2:Y$27,'boc xe'!$B$2:$B$27,'chia CN boc xe'!$C108)</f>
        <v>0</v>
      </c>
      <c r="I108" s="419">
        <f>SUMIFS('boc xe'!Z$2:Z$27,'boc xe'!$B$2:$B$27,'chia CN boc xe'!$C108)</f>
        <v>0</v>
      </c>
      <c r="J108" s="419">
        <f>SUMIFS('boc xe'!AA$2:AA$27,'boc xe'!$B$2:$B$27,'chia CN boc xe'!$C108)</f>
        <v>0</v>
      </c>
      <c r="K108" s="419">
        <f>SUMIFS('boc xe'!AB$2:AB$27,'boc xe'!$B$2:$B$27,'chia CN boc xe'!$C108)</f>
        <v>0</v>
      </c>
      <c r="L108" s="419">
        <f>SUMIFS('boc xe'!AC$2:AC$27,'boc xe'!$B$2:$B$27,'chia CN boc xe'!$C108)</f>
        <v>0</v>
      </c>
      <c r="M108" s="419">
        <f>SUMIFS('boc xe'!AD$2:AD$27,'boc xe'!$B$2:$B$27,'chia CN boc xe'!$C108)</f>
        <v>0</v>
      </c>
      <c r="N108" s="419">
        <f>SUMIFS('boc xe'!AE$2:AE$27,'boc xe'!$B$2:$B$27,'chia CN boc xe'!$C108)</f>
        <v>0</v>
      </c>
      <c r="O108" s="419">
        <f>SUMIFS('boc xe'!AF$2:AF$27,'boc xe'!$B$2:$B$27,'chia CN boc xe'!$C108)</f>
        <v>0</v>
      </c>
      <c r="P108" s="419">
        <f>SUMIFS('boc xe'!AG$2:AG$27,'boc xe'!$B$2:$B$27,'chia CN boc xe'!$C108)</f>
        <v>0</v>
      </c>
      <c r="Q108" s="419">
        <f>SUMIFS('boc xe'!AH$2:AH$27,'boc xe'!$B$2:$B$27,'chia CN boc xe'!$C108)</f>
        <v>0</v>
      </c>
      <c r="R108" s="419">
        <f>SUMIFS('boc xe'!AI$2:AI$27,'boc xe'!$B$2:$B$27,'chia CN boc xe'!$C108)</f>
        <v>0</v>
      </c>
      <c r="S108" s="419">
        <f>SUMIFS('boc xe'!AJ$2:AJ$27,'boc xe'!$B$2:$B$27,'chia CN boc xe'!$C108)</f>
        <v>0</v>
      </c>
    </row>
    <row r="109" spans="1:19" ht="15.75" customHeight="1">
      <c r="A109" s="421">
        <f t="shared" si="33"/>
        <v>108</v>
      </c>
      <c r="B109" s="253"/>
      <c r="C109" s="421"/>
      <c r="D109" s="419">
        <f>SUMIFS('boc xe'!U$2:U$27,'boc xe'!$B$2:$B$27,'chia CN boc xe'!$C109)</f>
        <v>0</v>
      </c>
      <c r="E109" s="419">
        <f>SUMIFS('boc xe'!V$2:V$27,'boc xe'!$B$2:$B$27,'chia CN boc xe'!$C109)</f>
        <v>0</v>
      </c>
      <c r="F109" s="419">
        <f>SUMIFS('boc xe'!W$2:W$27,'boc xe'!$B$2:$B$27,'chia CN boc xe'!$C109)</f>
        <v>0</v>
      </c>
      <c r="G109" s="419">
        <f>SUMIFS('boc xe'!X$2:X$27,'boc xe'!$B$2:$B$27,'chia CN boc xe'!$C109)</f>
        <v>0</v>
      </c>
      <c r="H109" s="419">
        <f>SUMIFS('boc xe'!Y$2:Y$27,'boc xe'!$B$2:$B$27,'chia CN boc xe'!$C109)</f>
        <v>0</v>
      </c>
      <c r="I109" s="419">
        <f>SUMIFS('boc xe'!Z$2:Z$27,'boc xe'!$B$2:$B$27,'chia CN boc xe'!$C109)</f>
        <v>0</v>
      </c>
      <c r="J109" s="419">
        <f>SUMIFS('boc xe'!AA$2:AA$27,'boc xe'!$B$2:$B$27,'chia CN boc xe'!$C109)</f>
        <v>0</v>
      </c>
      <c r="K109" s="419">
        <f>SUMIFS('boc xe'!AB$2:AB$27,'boc xe'!$B$2:$B$27,'chia CN boc xe'!$C109)</f>
        <v>0</v>
      </c>
      <c r="L109" s="419">
        <f>SUMIFS('boc xe'!AC$2:AC$27,'boc xe'!$B$2:$B$27,'chia CN boc xe'!$C109)</f>
        <v>0</v>
      </c>
      <c r="M109" s="419">
        <f>SUMIFS('boc xe'!AD$2:AD$27,'boc xe'!$B$2:$B$27,'chia CN boc xe'!$C109)</f>
        <v>0</v>
      </c>
      <c r="N109" s="419">
        <f>SUMIFS('boc xe'!AE$2:AE$27,'boc xe'!$B$2:$B$27,'chia CN boc xe'!$C109)</f>
        <v>0</v>
      </c>
      <c r="O109" s="419">
        <f>SUMIFS('boc xe'!AF$2:AF$27,'boc xe'!$B$2:$B$27,'chia CN boc xe'!$C109)</f>
        <v>0</v>
      </c>
      <c r="P109" s="419">
        <f>SUMIFS('boc xe'!AG$2:AG$27,'boc xe'!$B$2:$B$27,'chia CN boc xe'!$C109)</f>
        <v>0</v>
      </c>
      <c r="Q109" s="419">
        <f>SUMIFS('boc xe'!AH$2:AH$27,'boc xe'!$B$2:$B$27,'chia CN boc xe'!$C109)</f>
        <v>0</v>
      </c>
      <c r="R109" s="419">
        <f>SUMIFS('boc xe'!AI$2:AI$27,'boc xe'!$B$2:$B$27,'chia CN boc xe'!$C109)</f>
        <v>0</v>
      </c>
      <c r="S109" s="419">
        <f>SUMIFS('boc xe'!AJ$2:AJ$27,'boc xe'!$B$2:$B$27,'chia CN boc xe'!$C109)</f>
        <v>0</v>
      </c>
    </row>
    <row r="110" spans="1:19" ht="15.75" customHeight="1">
      <c r="A110" s="421">
        <f t="shared" si="33"/>
        <v>109</v>
      </c>
      <c r="B110" s="555"/>
      <c r="C110" s="421"/>
      <c r="D110" s="419">
        <f>SUMIFS('boc xe'!U$2:U$27,'boc xe'!$B$2:$B$27,'chia CN boc xe'!$C110)</f>
        <v>0</v>
      </c>
      <c r="E110" s="419">
        <f>SUMIFS('boc xe'!V$2:V$27,'boc xe'!$B$2:$B$27,'chia CN boc xe'!$C110)</f>
        <v>0</v>
      </c>
      <c r="F110" s="419">
        <f>SUMIFS('boc xe'!W$2:W$27,'boc xe'!$B$2:$B$27,'chia CN boc xe'!$C110)</f>
        <v>0</v>
      </c>
      <c r="G110" s="419">
        <f>SUMIFS('boc xe'!X$2:X$27,'boc xe'!$B$2:$B$27,'chia CN boc xe'!$C110)</f>
        <v>0</v>
      </c>
      <c r="H110" s="419">
        <f>SUMIFS('boc xe'!Y$2:Y$27,'boc xe'!$B$2:$B$27,'chia CN boc xe'!$C110)</f>
        <v>0</v>
      </c>
      <c r="I110" s="419">
        <f>SUMIFS('boc xe'!Z$2:Z$27,'boc xe'!$B$2:$B$27,'chia CN boc xe'!$C110)</f>
        <v>0</v>
      </c>
      <c r="J110" s="419">
        <f>SUMIFS('boc xe'!AA$2:AA$27,'boc xe'!$B$2:$B$27,'chia CN boc xe'!$C110)</f>
        <v>0</v>
      </c>
      <c r="K110" s="419">
        <f>SUMIFS('boc xe'!AB$2:AB$27,'boc xe'!$B$2:$B$27,'chia CN boc xe'!$C110)</f>
        <v>0</v>
      </c>
      <c r="L110" s="419">
        <f>SUMIFS('boc xe'!AC$2:AC$27,'boc xe'!$B$2:$B$27,'chia CN boc xe'!$C110)</f>
        <v>0</v>
      </c>
      <c r="M110" s="419">
        <f>SUMIFS('boc xe'!AD$2:AD$27,'boc xe'!$B$2:$B$27,'chia CN boc xe'!$C110)</f>
        <v>0</v>
      </c>
      <c r="N110" s="419">
        <f>SUMIFS('boc xe'!AE$2:AE$27,'boc xe'!$B$2:$B$27,'chia CN boc xe'!$C110)</f>
        <v>0</v>
      </c>
      <c r="O110" s="419">
        <f>SUMIFS('boc xe'!AF$2:AF$27,'boc xe'!$B$2:$B$27,'chia CN boc xe'!$C110)</f>
        <v>0</v>
      </c>
      <c r="P110" s="419">
        <f>SUMIFS('boc xe'!AG$2:AG$27,'boc xe'!$B$2:$B$27,'chia CN boc xe'!$C110)</f>
        <v>0</v>
      </c>
      <c r="Q110" s="419">
        <f>SUMIFS('boc xe'!AH$2:AH$27,'boc xe'!$B$2:$B$27,'chia CN boc xe'!$C110)</f>
        <v>0</v>
      </c>
      <c r="R110" s="419">
        <f>SUMIFS('boc xe'!AI$2:AI$27,'boc xe'!$B$2:$B$27,'chia CN boc xe'!$C110)</f>
        <v>0</v>
      </c>
      <c r="S110" s="419">
        <f>SUMIFS('boc xe'!AJ$2:AJ$27,'boc xe'!$B$2:$B$27,'chia CN boc xe'!$C110)</f>
        <v>0</v>
      </c>
    </row>
    <row r="111" spans="1:19" ht="15.75" customHeight="1">
      <c r="A111" s="421">
        <f t="shared" si="33"/>
        <v>110</v>
      </c>
      <c r="B111" s="555"/>
      <c r="C111" s="421"/>
      <c r="D111" s="419">
        <f>SUMIFS('boc xe'!U$2:U$27,'boc xe'!$B$2:$B$27,'chia CN boc xe'!$C111)</f>
        <v>0</v>
      </c>
      <c r="E111" s="419">
        <f>SUMIFS('boc xe'!V$2:V$27,'boc xe'!$B$2:$B$27,'chia CN boc xe'!$C111)</f>
        <v>0</v>
      </c>
      <c r="F111" s="419">
        <f>SUMIFS('boc xe'!W$2:W$27,'boc xe'!$B$2:$B$27,'chia CN boc xe'!$C111)</f>
        <v>0</v>
      </c>
      <c r="G111" s="419">
        <f>SUMIFS('boc xe'!X$2:X$27,'boc xe'!$B$2:$B$27,'chia CN boc xe'!$C111)</f>
        <v>0</v>
      </c>
      <c r="H111" s="419">
        <f>SUMIFS('boc xe'!Y$2:Y$27,'boc xe'!$B$2:$B$27,'chia CN boc xe'!$C111)</f>
        <v>0</v>
      </c>
      <c r="I111" s="419">
        <f>SUMIFS('boc xe'!Z$2:Z$27,'boc xe'!$B$2:$B$27,'chia CN boc xe'!$C111)</f>
        <v>0</v>
      </c>
      <c r="J111" s="419">
        <f>SUMIFS('boc xe'!AA$2:AA$27,'boc xe'!$B$2:$B$27,'chia CN boc xe'!$C111)</f>
        <v>0</v>
      </c>
      <c r="K111" s="419">
        <f>SUMIFS('boc xe'!AB$2:AB$27,'boc xe'!$B$2:$B$27,'chia CN boc xe'!$C111)</f>
        <v>0</v>
      </c>
      <c r="L111" s="419">
        <f>SUMIFS('boc xe'!AC$2:AC$27,'boc xe'!$B$2:$B$27,'chia CN boc xe'!$C111)</f>
        <v>0</v>
      </c>
      <c r="M111" s="419">
        <f>SUMIFS('boc xe'!AD$2:AD$27,'boc xe'!$B$2:$B$27,'chia CN boc xe'!$C111)</f>
        <v>0</v>
      </c>
      <c r="N111" s="419">
        <f>SUMIFS('boc xe'!AE$2:AE$27,'boc xe'!$B$2:$B$27,'chia CN boc xe'!$C111)</f>
        <v>0</v>
      </c>
      <c r="O111" s="419">
        <f>SUMIFS('boc xe'!AF$2:AF$27,'boc xe'!$B$2:$B$27,'chia CN boc xe'!$C111)</f>
        <v>0</v>
      </c>
      <c r="P111" s="419">
        <f>SUMIFS('boc xe'!AG$2:AG$27,'boc xe'!$B$2:$B$27,'chia CN boc xe'!$C111)</f>
        <v>0</v>
      </c>
      <c r="Q111" s="419">
        <f>SUMIFS('boc xe'!AH$2:AH$27,'boc xe'!$B$2:$B$27,'chia CN boc xe'!$C111)</f>
        <v>0</v>
      </c>
      <c r="R111" s="419">
        <f>SUMIFS('boc xe'!AI$2:AI$27,'boc xe'!$B$2:$B$27,'chia CN boc xe'!$C111)</f>
        <v>0</v>
      </c>
      <c r="S111" s="419">
        <f>SUMIFS('boc xe'!AJ$2:AJ$27,'boc xe'!$B$2:$B$27,'chia CN boc xe'!$C111)</f>
        <v>0</v>
      </c>
    </row>
    <row r="112" spans="1:19" ht="15.75" customHeight="1">
      <c r="A112" s="421">
        <f t="shared" si="33"/>
        <v>111</v>
      </c>
      <c r="B112" s="555"/>
      <c r="C112" s="421"/>
      <c r="D112" s="419">
        <f>SUMIFS('boc xe'!U$2:U$27,'boc xe'!$B$2:$B$27,'chia CN boc xe'!$C112)</f>
        <v>0</v>
      </c>
      <c r="E112" s="419">
        <f>SUMIFS('boc xe'!V$2:V$27,'boc xe'!$B$2:$B$27,'chia CN boc xe'!$C112)</f>
        <v>0</v>
      </c>
      <c r="F112" s="419">
        <f>SUMIFS('boc xe'!W$2:W$27,'boc xe'!$B$2:$B$27,'chia CN boc xe'!$C112)</f>
        <v>0</v>
      </c>
      <c r="G112" s="419">
        <f>SUMIFS('boc xe'!X$2:X$27,'boc xe'!$B$2:$B$27,'chia CN boc xe'!$C112)</f>
        <v>0</v>
      </c>
      <c r="H112" s="419">
        <f>SUMIFS('boc xe'!Y$2:Y$27,'boc xe'!$B$2:$B$27,'chia CN boc xe'!$C112)</f>
        <v>0</v>
      </c>
      <c r="I112" s="419">
        <f>SUMIFS('boc xe'!Z$2:Z$27,'boc xe'!$B$2:$B$27,'chia CN boc xe'!$C112)</f>
        <v>0</v>
      </c>
      <c r="J112" s="419">
        <f>SUMIFS('boc xe'!AA$2:AA$27,'boc xe'!$B$2:$B$27,'chia CN boc xe'!$C112)</f>
        <v>0</v>
      </c>
      <c r="K112" s="419">
        <f>SUMIFS('boc xe'!AB$2:AB$27,'boc xe'!$B$2:$B$27,'chia CN boc xe'!$C112)</f>
        <v>0</v>
      </c>
      <c r="L112" s="419">
        <f>SUMIFS('boc xe'!AC$2:AC$27,'boc xe'!$B$2:$B$27,'chia CN boc xe'!$C112)</f>
        <v>0</v>
      </c>
      <c r="M112" s="419">
        <f>SUMIFS('boc xe'!AD$2:AD$27,'boc xe'!$B$2:$B$27,'chia CN boc xe'!$C112)</f>
        <v>0</v>
      </c>
      <c r="N112" s="419">
        <f>SUMIFS('boc xe'!AE$2:AE$27,'boc xe'!$B$2:$B$27,'chia CN boc xe'!$C112)</f>
        <v>0</v>
      </c>
      <c r="O112" s="419">
        <f>SUMIFS('boc xe'!AF$2:AF$27,'boc xe'!$B$2:$B$27,'chia CN boc xe'!$C112)</f>
        <v>0</v>
      </c>
      <c r="P112" s="419">
        <f>SUMIFS('boc xe'!AG$2:AG$27,'boc xe'!$B$2:$B$27,'chia CN boc xe'!$C112)</f>
        <v>0</v>
      </c>
      <c r="Q112" s="419">
        <f>SUMIFS('boc xe'!AH$2:AH$27,'boc xe'!$B$2:$B$27,'chia CN boc xe'!$C112)</f>
        <v>0</v>
      </c>
      <c r="R112" s="419">
        <f>SUMIFS('boc xe'!AI$2:AI$27,'boc xe'!$B$2:$B$27,'chia CN boc xe'!$C112)</f>
        <v>0</v>
      </c>
      <c r="S112" s="419">
        <f>SUMIFS('boc xe'!AJ$2:AJ$27,'boc xe'!$B$2:$B$27,'chia CN boc xe'!$C112)</f>
        <v>0</v>
      </c>
    </row>
    <row r="113" spans="1:19" ht="15.75" customHeight="1">
      <c r="A113" s="421">
        <f t="shared" si="33"/>
        <v>112</v>
      </c>
      <c r="B113" s="555"/>
      <c r="C113" s="421"/>
      <c r="D113" s="419">
        <f>SUMIFS('boc xe'!U$2:U$27,'boc xe'!$B$2:$B$27,'chia CN boc xe'!$C113)</f>
        <v>0</v>
      </c>
      <c r="E113" s="419">
        <f>SUMIFS('boc xe'!V$2:V$27,'boc xe'!$B$2:$B$27,'chia CN boc xe'!$C113)</f>
        <v>0</v>
      </c>
      <c r="F113" s="419">
        <f>SUMIFS('boc xe'!W$2:W$27,'boc xe'!$B$2:$B$27,'chia CN boc xe'!$C113)</f>
        <v>0</v>
      </c>
      <c r="G113" s="419">
        <f>SUMIFS('boc xe'!X$2:X$27,'boc xe'!$B$2:$B$27,'chia CN boc xe'!$C113)</f>
        <v>0</v>
      </c>
      <c r="H113" s="419">
        <f>SUMIFS('boc xe'!Y$2:Y$27,'boc xe'!$B$2:$B$27,'chia CN boc xe'!$C113)</f>
        <v>0</v>
      </c>
      <c r="I113" s="419">
        <f>SUMIFS('boc xe'!Z$2:Z$27,'boc xe'!$B$2:$B$27,'chia CN boc xe'!$C113)</f>
        <v>0</v>
      </c>
      <c r="J113" s="419">
        <f>SUMIFS('boc xe'!AA$2:AA$27,'boc xe'!$B$2:$B$27,'chia CN boc xe'!$C113)</f>
        <v>0</v>
      </c>
      <c r="K113" s="419">
        <f>SUMIFS('boc xe'!AB$2:AB$27,'boc xe'!$B$2:$B$27,'chia CN boc xe'!$C113)</f>
        <v>0</v>
      </c>
      <c r="L113" s="419">
        <f>SUMIFS('boc xe'!AC$2:AC$27,'boc xe'!$B$2:$B$27,'chia CN boc xe'!$C113)</f>
        <v>0</v>
      </c>
      <c r="M113" s="419">
        <f>SUMIFS('boc xe'!AD$2:AD$27,'boc xe'!$B$2:$B$27,'chia CN boc xe'!$C113)</f>
        <v>0</v>
      </c>
      <c r="N113" s="419">
        <f>SUMIFS('boc xe'!AE$2:AE$27,'boc xe'!$B$2:$B$27,'chia CN boc xe'!$C113)</f>
        <v>0</v>
      </c>
      <c r="O113" s="419">
        <f>SUMIFS('boc xe'!AF$2:AF$27,'boc xe'!$B$2:$B$27,'chia CN boc xe'!$C113)</f>
        <v>0</v>
      </c>
      <c r="P113" s="419">
        <f>SUMIFS('boc xe'!AG$2:AG$27,'boc xe'!$B$2:$B$27,'chia CN boc xe'!$C113)</f>
        <v>0</v>
      </c>
      <c r="Q113" s="419">
        <f>SUMIFS('boc xe'!AH$2:AH$27,'boc xe'!$B$2:$B$27,'chia CN boc xe'!$C113)</f>
        <v>0</v>
      </c>
      <c r="R113" s="419">
        <f>SUMIFS('boc xe'!AI$2:AI$27,'boc xe'!$B$2:$B$27,'chia CN boc xe'!$C113)</f>
        <v>0</v>
      </c>
      <c r="S113" s="419">
        <f>SUMIFS('boc xe'!AJ$2:AJ$27,'boc xe'!$B$2:$B$27,'chia CN boc xe'!$C113)</f>
        <v>0</v>
      </c>
    </row>
    <row r="114" spans="1:19">
      <c r="A114" s="421">
        <f t="shared" si="33"/>
        <v>113</v>
      </c>
      <c r="B114" s="555"/>
      <c r="C114" s="421"/>
      <c r="D114" s="419">
        <f>SUMIFS('boc xe'!U$2:U$27,'boc xe'!$B$2:$B$27,'chia CN boc xe'!$C114)</f>
        <v>0</v>
      </c>
      <c r="E114" s="419">
        <f>SUMIFS('boc xe'!V$2:V$27,'boc xe'!$B$2:$B$27,'chia CN boc xe'!$C114)</f>
        <v>0</v>
      </c>
      <c r="F114" s="419">
        <f>SUMIFS('boc xe'!W$2:W$27,'boc xe'!$B$2:$B$27,'chia CN boc xe'!$C114)</f>
        <v>0</v>
      </c>
      <c r="G114" s="419">
        <f>SUMIFS('boc xe'!X$2:X$27,'boc xe'!$B$2:$B$27,'chia CN boc xe'!$C114)</f>
        <v>0</v>
      </c>
      <c r="H114" s="419">
        <f>SUMIFS('boc xe'!Y$2:Y$27,'boc xe'!$B$2:$B$27,'chia CN boc xe'!$C114)</f>
        <v>0</v>
      </c>
      <c r="I114" s="419">
        <f>SUMIFS('boc xe'!Z$2:Z$27,'boc xe'!$B$2:$B$27,'chia CN boc xe'!$C114)</f>
        <v>0</v>
      </c>
      <c r="J114" s="419">
        <f>SUMIFS('boc xe'!AA$2:AA$27,'boc xe'!$B$2:$B$27,'chia CN boc xe'!$C114)</f>
        <v>0</v>
      </c>
      <c r="K114" s="419">
        <f>SUMIFS('boc xe'!AB$2:AB$27,'boc xe'!$B$2:$B$27,'chia CN boc xe'!$C114)</f>
        <v>0</v>
      </c>
      <c r="L114" s="419">
        <f>SUMIFS('boc xe'!AC$2:AC$27,'boc xe'!$B$2:$B$27,'chia CN boc xe'!$C114)</f>
        <v>0</v>
      </c>
      <c r="M114" s="419">
        <f>SUMIFS('boc xe'!AD$2:AD$27,'boc xe'!$B$2:$B$27,'chia CN boc xe'!$C114)</f>
        <v>0</v>
      </c>
      <c r="N114" s="419">
        <f>SUMIFS('boc xe'!AE$2:AE$27,'boc xe'!$B$2:$B$27,'chia CN boc xe'!$C114)</f>
        <v>0</v>
      </c>
      <c r="O114" s="419">
        <f>SUMIFS('boc xe'!AF$2:AF$27,'boc xe'!$B$2:$B$27,'chia CN boc xe'!$C114)</f>
        <v>0</v>
      </c>
      <c r="P114" s="419">
        <f>SUMIFS('boc xe'!AG$2:AG$27,'boc xe'!$B$2:$B$27,'chia CN boc xe'!$C114)</f>
        <v>0</v>
      </c>
      <c r="Q114" s="419">
        <f>SUMIFS('boc xe'!AH$2:AH$27,'boc xe'!$B$2:$B$27,'chia CN boc xe'!$C114)</f>
        <v>0</v>
      </c>
      <c r="R114" s="419">
        <f>SUMIFS('boc xe'!AI$2:AI$27,'boc xe'!$B$2:$B$27,'chia CN boc xe'!$C114)</f>
        <v>0</v>
      </c>
      <c r="S114" s="419">
        <f>SUMIFS('boc xe'!AJ$2:AJ$27,'boc xe'!$B$2:$B$27,'chia CN boc xe'!$C114)</f>
        <v>0</v>
      </c>
    </row>
    <row r="115" spans="1:19">
      <c r="A115" s="421">
        <f t="shared" si="33"/>
        <v>114</v>
      </c>
      <c r="B115" s="555"/>
      <c r="C115" s="421"/>
      <c r="D115" s="419">
        <f>SUMIFS('boc xe'!U$2:U$27,'boc xe'!$B$2:$B$27,'chia CN boc xe'!$C115)</f>
        <v>0</v>
      </c>
      <c r="E115" s="419">
        <f>SUMIFS('boc xe'!V$2:V$27,'boc xe'!$B$2:$B$27,'chia CN boc xe'!$C115)</f>
        <v>0</v>
      </c>
      <c r="F115" s="419">
        <f>SUMIFS('boc xe'!W$2:W$27,'boc xe'!$B$2:$B$27,'chia CN boc xe'!$C115)</f>
        <v>0</v>
      </c>
      <c r="G115" s="419">
        <f>SUMIFS('boc xe'!X$2:X$27,'boc xe'!$B$2:$B$27,'chia CN boc xe'!$C115)</f>
        <v>0</v>
      </c>
      <c r="H115" s="419">
        <f>SUMIFS('boc xe'!Y$2:Y$27,'boc xe'!$B$2:$B$27,'chia CN boc xe'!$C115)</f>
        <v>0</v>
      </c>
      <c r="I115" s="419">
        <f>SUMIFS('boc xe'!Z$2:Z$27,'boc xe'!$B$2:$B$27,'chia CN boc xe'!$C115)</f>
        <v>0</v>
      </c>
      <c r="J115" s="419">
        <f>SUMIFS('boc xe'!AA$2:AA$27,'boc xe'!$B$2:$B$27,'chia CN boc xe'!$C115)</f>
        <v>0</v>
      </c>
      <c r="K115" s="419">
        <f>SUMIFS('boc xe'!AB$2:AB$27,'boc xe'!$B$2:$B$27,'chia CN boc xe'!$C115)</f>
        <v>0</v>
      </c>
      <c r="L115" s="419">
        <f>SUMIFS('boc xe'!AC$2:AC$27,'boc xe'!$B$2:$B$27,'chia CN boc xe'!$C115)</f>
        <v>0</v>
      </c>
      <c r="M115" s="419">
        <f>SUMIFS('boc xe'!AD$2:AD$27,'boc xe'!$B$2:$B$27,'chia CN boc xe'!$C115)</f>
        <v>0</v>
      </c>
      <c r="N115" s="419">
        <f>SUMIFS('boc xe'!AE$2:AE$27,'boc xe'!$B$2:$B$27,'chia CN boc xe'!$C115)</f>
        <v>0</v>
      </c>
      <c r="O115" s="419">
        <f>SUMIFS('boc xe'!AF$2:AF$27,'boc xe'!$B$2:$B$27,'chia CN boc xe'!$C115)</f>
        <v>0</v>
      </c>
      <c r="P115" s="419">
        <f>SUMIFS('boc xe'!AG$2:AG$27,'boc xe'!$B$2:$B$27,'chia CN boc xe'!$C115)</f>
        <v>0</v>
      </c>
      <c r="Q115" s="419">
        <f>SUMIFS('boc xe'!AH$2:AH$27,'boc xe'!$B$2:$B$27,'chia CN boc xe'!$C115)</f>
        <v>0</v>
      </c>
      <c r="R115" s="419">
        <f>SUMIFS('boc xe'!AI$2:AI$27,'boc xe'!$B$2:$B$27,'chia CN boc xe'!$C115)</f>
        <v>0</v>
      </c>
      <c r="S115" s="419">
        <f>SUMIFS('boc xe'!AJ$2:AJ$27,'boc xe'!$B$2:$B$27,'chia CN boc xe'!$C115)</f>
        <v>0</v>
      </c>
    </row>
    <row r="116" spans="1:19">
      <c r="A116" s="421">
        <f t="shared" si="33"/>
        <v>115</v>
      </c>
      <c r="B116" s="555"/>
      <c r="C116" s="421"/>
      <c r="D116" s="419">
        <f>SUMIFS('boc xe'!U$2:U$27,'boc xe'!$B$2:$B$27,'chia CN boc xe'!$C116)</f>
        <v>0</v>
      </c>
      <c r="E116" s="419">
        <f>SUMIFS('boc xe'!V$2:V$27,'boc xe'!$B$2:$B$27,'chia CN boc xe'!$C116)</f>
        <v>0</v>
      </c>
      <c r="F116" s="419">
        <f>SUMIFS('boc xe'!W$2:W$27,'boc xe'!$B$2:$B$27,'chia CN boc xe'!$C116)</f>
        <v>0</v>
      </c>
      <c r="G116" s="419">
        <f>SUMIFS('boc xe'!X$2:X$27,'boc xe'!$B$2:$B$27,'chia CN boc xe'!$C116)</f>
        <v>0</v>
      </c>
      <c r="H116" s="419">
        <f>SUMIFS('boc xe'!Y$2:Y$27,'boc xe'!$B$2:$B$27,'chia CN boc xe'!$C116)</f>
        <v>0</v>
      </c>
      <c r="I116" s="419">
        <f>SUMIFS('boc xe'!Z$2:Z$27,'boc xe'!$B$2:$B$27,'chia CN boc xe'!$C116)</f>
        <v>0</v>
      </c>
      <c r="J116" s="419">
        <f>SUMIFS('boc xe'!AA$2:AA$27,'boc xe'!$B$2:$B$27,'chia CN boc xe'!$C116)</f>
        <v>0</v>
      </c>
      <c r="K116" s="419">
        <f>SUMIFS('boc xe'!AB$2:AB$27,'boc xe'!$B$2:$B$27,'chia CN boc xe'!$C116)</f>
        <v>0</v>
      </c>
      <c r="L116" s="419">
        <f>SUMIFS('boc xe'!AC$2:AC$27,'boc xe'!$B$2:$B$27,'chia CN boc xe'!$C116)</f>
        <v>0</v>
      </c>
      <c r="M116" s="419">
        <f>SUMIFS('boc xe'!AD$2:AD$27,'boc xe'!$B$2:$B$27,'chia CN boc xe'!$C116)</f>
        <v>0</v>
      </c>
      <c r="N116" s="419">
        <f>SUMIFS('boc xe'!AE$2:AE$27,'boc xe'!$B$2:$B$27,'chia CN boc xe'!$C116)</f>
        <v>0</v>
      </c>
      <c r="O116" s="419">
        <f>SUMIFS('boc xe'!AF$2:AF$27,'boc xe'!$B$2:$B$27,'chia CN boc xe'!$C116)</f>
        <v>0</v>
      </c>
      <c r="P116" s="419">
        <f>SUMIFS('boc xe'!AG$2:AG$27,'boc xe'!$B$2:$B$27,'chia CN boc xe'!$C116)</f>
        <v>0</v>
      </c>
      <c r="Q116" s="419">
        <f>SUMIFS('boc xe'!AH$2:AH$27,'boc xe'!$B$2:$B$27,'chia CN boc xe'!$C116)</f>
        <v>0</v>
      </c>
      <c r="R116" s="419">
        <f>SUMIFS('boc xe'!AI$2:AI$27,'boc xe'!$B$2:$B$27,'chia CN boc xe'!$C116)</f>
        <v>0</v>
      </c>
      <c r="S116" s="419">
        <f>SUMIFS('boc xe'!AJ$2:AJ$27,'boc xe'!$B$2:$B$27,'chia CN boc xe'!$C116)</f>
        <v>0</v>
      </c>
    </row>
    <row r="117" spans="1:19">
      <c r="A117" s="421">
        <f t="shared" si="33"/>
        <v>116</v>
      </c>
      <c r="B117" s="555"/>
      <c r="C117" s="421"/>
      <c r="D117" s="419">
        <f>SUMIFS('boc xe'!U$2:U$27,'boc xe'!$B$2:$B$27,'chia CN boc xe'!$C117)</f>
        <v>0</v>
      </c>
      <c r="E117" s="419">
        <f>SUMIFS('boc xe'!V$2:V$27,'boc xe'!$B$2:$B$27,'chia CN boc xe'!$C117)</f>
        <v>0</v>
      </c>
      <c r="F117" s="419">
        <f>SUMIFS('boc xe'!W$2:W$27,'boc xe'!$B$2:$B$27,'chia CN boc xe'!$C117)</f>
        <v>0</v>
      </c>
      <c r="G117" s="419">
        <f>SUMIFS('boc xe'!X$2:X$27,'boc xe'!$B$2:$B$27,'chia CN boc xe'!$C117)</f>
        <v>0</v>
      </c>
      <c r="H117" s="419">
        <f>SUMIFS('boc xe'!Y$2:Y$27,'boc xe'!$B$2:$B$27,'chia CN boc xe'!$C117)</f>
        <v>0</v>
      </c>
      <c r="I117" s="419">
        <f>SUMIFS('boc xe'!Z$2:Z$27,'boc xe'!$B$2:$B$27,'chia CN boc xe'!$C117)</f>
        <v>0</v>
      </c>
      <c r="J117" s="419">
        <f>SUMIFS('boc xe'!AA$2:AA$27,'boc xe'!$B$2:$B$27,'chia CN boc xe'!$C117)</f>
        <v>0</v>
      </c>
      <c r="K117" s="419">
        <f>SUMIFS('boc xe'!AB$2:AB$27,'boc xe'!$B$2:$B$27,'chia CN boc xe'!$C117)</f>
        <v>0</v>
      </c>
      <c r="L117" s="419">
        <f>SUMIFS('boc xe'!AC$2:AC$27,'boc xe'!$B$2:$B$27,'chia CN boc xe'!$C117)</f>
        <v>0</v>
      </c>
      <c r="M117" s="419">
        <f>SUMIFS('boc xe'!AD$2:AD$27,'boc xe'!$B$2:$B$27,'chia CN boc xe'!$C117)</f>
        <v>0</v>
      </c>
      <c r="N117" s="419">
        <f>SUMIFS('boc xe'!AE$2:AE$27,'boc xe'!$B$2:$B$27,'chia CN boc xe'!$C117)</f>
        <v>0</v>
      </c>
      <c r="O117" s="419">
        <f>SUMIFS('boc xe'!AF$2:AF$27,'boc xe'!$B$2:$B$27,'chia CN boc xe'!$C117)</f>
        <v>0</v>
      </c>
      <c r="P117" s="419">
        <f>SUMIFS('boc xe'!AG$2:AG$27,'boc xe'!$B$2:$B$27,'chia CN boc xe'!$C117)</f>
        <v>0</v>
      </c>
      <c r="Q117" s="419">
        <f>SUMIFS('boc xe'!AH$2:AH$27,'boc xe'!$B$2:$B$27,'chia CN boc xe'!$C117)</f>
        <v>0</v>
      </c>
      <c r="R117" s="419">
        <f>SUMIFS('boc xe'!AI$2:AI$27,'boc xe'!$B$2:$B$27,'chia CN boc xe'!$C117)</f>
        <v>0</v>
      </c>
      <c r="S117" s="419">
        <f>SUMIFS('boc xe'!AJ$2:AJ$27,'boc xe'!$B$2:$B$27,'chia CN boc xe'!$C117)</f>
        <v>0</v>
      </c>
    </row>
    <row r="118" spans="1:19">
      <c r="A118" s="421">
        <f t="shared" si="33"/>
        <v>117</v>
      </c>
      <c r="B118" s="555"/>
      <c r="C118" s="421"/>
      <c r="D118" s="419">
        <f>SUMIFS('boc xe'!U$2:U$27,'boc xe'!$B$2:$B$27,'chia CN boc xe'!$C118)</f>
        <v>0</v>
      </c>
      <c r="E118" s="419">
        <f>SUMIFS('boc xe'!V$2:V$27,'boc xe'!$B$2:$B$27,'chia CN boc xe'!$C118)</f>
        <v>0</v>
      </c>
      <c r="F118" s="419">
        <f>SUMIFS('boc xe'!W$2:W$27,'boc xe'!$B$2:$B$27,'chia CN boc xe'!$C118)</f>
        <v>0</v>
      </c>
      <c r="G118" s="419">
        <f>SUMIFS('boc xe'!X$2:X$27,'boc xe'!$B$2:$B$27,'chia CN boc xe'!$C118)</f>
        <v>0</v>
      </c>
      <c r="H118" s="419">
        <f>SUMIFS('boc xe'!Y$2:Y$27,'boc xe'!$B$2:$B$27,'chia CN boc xe'!$C118)</f>
        <v>0</v>
      </c>
      <c r="I118" s="419">
        <f>SUMIFS('boc xe'!Z$2:Z$27,'boc xe'!$B$2:$B$27,'chia CN boc xe'!$C118)</f>
        <v>0</v>
      </c>
      <c r="J118" s="419">
        <f>SUMIFS('boc xe'!AA$2:AA$27,'boc xe'!$B$2:$B$27,'chia CN boc xe'!$C118)</f>
        <v>0</v>
      </c>
      <c r="K118" s="419">
        <f>SUMIFS('boc xe'!AB$2:AB$27,'boc xe'!$B$2:$B$27,'chia CN boc xe'!$C118)</f>
        <v>0</v>
      </c>
      <c r="L118" s="419">
        <f>SUMIFS('boc xe'!AC$2:AC$27,'boc xe'!$B$2:$B$27,'chia CN boc xe'!$C118)</f>
        <v>0</v>
      </c>
      <c r="M118" s="419">
        <f>SUMIFS('boc xe'!AD$2:AD$27,'boc xe'!$B$2:$B$27,'chia CN boc xe'!$C118)</f>
        <v>0</v>
      </c>
      <c r="N118" s="419">
        <f>SUMIFS('boc xe'!AE$2:AE$27,'boc xe'!$B$2:$B$27,'chia CN boc xe'!$C118)</f>
        <v>0</v>
      </c>
      <c r="O118" s="419">
        <f>SUMIFS('boc xe'!AF$2:AF$27,'boc xe'!$B$2:$B$27,'chia CN boc xe'!$C118)</f>
        <v>0</v>
      </c>
      <c r="P118" s="419">
        <f>SUMIFS('boc xe'!AG$2:AG$27,'boc xe'!$B$2:$B$27,'chia CN boc xe'!$C118)</f>
        <v>0</v>
      </c>
      <c r="Q118" s="419">
        <f>SUMIFS('boc xe'!AH$2:AH$27,'boc xe'!$B$2:$B$27,'chia CN boc xe'!$C118)</f>
        <v>0</v>
      </c>
      <c r="R118" s="419">
        <f>SUMIFS('boc xe'!AI$2:AI$27,'boc xe'!$B$2:$B$27,'chia CN boc xe'!$C118)</f>
        <v>0</v>
      </c>
      <c r="S118" s="419">
        <f>SUMIFS('boc xe'!AJ$2:AJ$27,'boc xe'!$B$2:$B$27,'chia CN boc xe'!$C118)</f>
        <v>0</v>
      </c>
    </row>
    <row r="119" spans="1:19">
      <c r="A119" s="421">
        <f t="shared" si="33"/>
        <v>118</v>
      </c>
      <c r="B119" s="555"/>
      <c r="C119" s="421"/>
      <c r="D119" s="419">
        <f>SUMIFS('boc xe'!U$2:U$27,'boc xe'!$B$2:$B$27,'chia CN boc xe'!$C119)</f>
        <v>0</v>
      </c>
      <c r="E119" s="419">
        <f>SUMIFS('boc xe'!V$2:V$27,'boc xe'!$B$2:$B$27,'chia CN boc xe'!$C119)</f>
        <v>0</v>
      </c>
      <c r="F119" s="419">
        <f>SUMIFS('boc xe'!W$2:W$27,'boc xe'!$B$2:$B$27,'chia CN boc xe'!$C119)</f>
        <v>0</v>
      </c>
      <c r="G119" s="419">
        <f>SUMIFS('boc xe'!X$2:X$27,'boc xe'!$B$2:$B$27,'chia CN boc xe'!$C119)</f>
        <v>0</v>
      </c>
      <c r="H119" s="419">
        <f>SUMIFS('boc xe'!Y$2:Y$27,'boc xe'!$B$2:$B$27,'chia CN boc xe'!$C119)</f>
        <v>0</v>
      </c>
      <c r="I119" s="419">
        <f>SUMIFS('boc xe'!Z$2:Z$27,'boc xe'!$B$2:$B$27,'chia CN boc xe'!$C119)</f>
        <v>0</v>
      </c>
      <c r="J119" s="419">
        <f>SUMIFS('boc xe'!AA$2:AA$27,'boc xe'!$B$2:$B$27,'chia CN boc xe'!$C119)</f>
        <v>0</v>
      </c>
      <c r="K119" s="419">
        <f>SUMIFS('boc xe'!AB$2:AB$27,'boc xe'!$B$2:$B$27,'chia CN boc xe'!$C119)</f>
        <v>0</v>
      </c>
      <c r="L119" s="419">
        <f>SUMIFS('boc xe'!AC$2:AC$27,'boc xe'!$B$2:$B$27,'chia CN boc xe'!$C119)</f>
        <v>0</v>
      </c>
      <c r="M119" s="419">
        <f>SUMIFS('boc xe'!AD$2:AD$27,'boc xe'!$B$2:$B$27,'chia CN boc xe'!$C119)</f>
        <v>0</v>
      </c>
      <c r="N119" s="419">
        <f>SUMIFS('boc xe'!AE$2:AE$27,'boc xe'!$B$2:$B$27,'chia CN boc xe'!$C119)</f>
        <v>0</v>
      </c>
      <c r="O119" s="419">
        <f>SUMIFS('boc xe'!AF$2:AF$27,'boc xe'!$B$2:$B$27,'chia CN boc xe'!$C119)</f>
        <v>0</v>
      </c>
      <c r="P119" s="419">
        <f>SUMIFS('boc xe'!AG$2:AG$27,'boc xe'!$B$2:$B$27,'chia CN boc xe'!$C119)</f>
        <v>0</v>
      </c>
      <c r="Q119" s="419">
        <f>SUMIFS('boc xe'!AH$2:AH$27,'boc xe'!$B$2:$B$27,'chia CN boc xe'!$C119)</f>
        <v>0</v>
      </c>
      <c r="R119" s="419">
        <f>SUMIFS('boc xe'!AI$2:AI$27,'boc xe'!$B$2:$B$27,'chia CN boc xe'!$C119)</f>
        <v>0</v>
      </c>
      <c r="S119" s="419">
        <f>SUMIFS('boc xe'!AJ$2:AJ$27,'boc xe'!$B$2:$B$27,'chia CN boc xe'!$C119)</f>
        <v>0</v>
      </c>
    </row>
    <row r="120" spans="1:19">
      <c r="A120" s="421">
        <f t="shared" si="33"/>
        <v>119</v>
      </c>
      <c r="B120" s="555"/>
      <c r="C120" s="421"/>
      <c r="D120" s="419">
        <f>SUMIFS('boc xe'!U$2:U$27,'boc xe'!$B$2:$B$27,'chia CN boc xe'!$C120)</f>
        <v>0</v>
      </c>
      <c r="E120" s="419">
        <f>SUMIFS('boc xe'!V$2:V$27,'boc xe'!$B$2:$B$27,'chia CN boc xe'!$C120)</f>
        <v>0</v>
      </c>
      <c r="F120" s="419">
        <f>SUMIFS('boc xe'!W$2:W$27,'boc xe'!$B$2:$B$27,'chia CN boc xe'!$C120)</f>
        <v>0</v>
      </c>
      <c r="G120" s="419">
        <f>SUMIFS('boc xe'!X$2:X$27,'boc xe'!$B$2:$B$27,'chia CN boc xe'!$C120)</f>
        <v>0</v>
      </c>
      <c r="H120" s="419">
        <f>SUMIFS('boc xe'!Y$2:Y$27,'boc xe'!$B$2:$B$27,'chia CN boc xe'!$C120)</f>
        <v>0</v>
      </c>
      <c r="I120" s="419">
        <f>SUMIFS('boc xe'!Z$2:Z$27,'boc xe'!$B$2:$B$27,'chia CN boc xe'!$C120)</f>
        <v>0</v>
      </c>
      <c r="J120" s="419">
        <f>SUMIFS('boc xe'!AA$2:AA$27,'boc xe'!$B$2:$B$27,'chia CN boc xe'!$C120)</f>
        <v>0</v>
      </c>
      <c r="K120" s="419">
        <f>SUMIFS('boc xe'!AB$2:AB$27,'boc xe'!$B$2:$B$27,'chia CN boc xe'!$C120)</f>
        <v>0</v>
      </c>
      <c r="L120" s="419">
        <f>SUMIFS('boc xe'!AC$2:AC$27,'boc xe'!$B$2:$B$27,'chia CN boc xe'!$C120)</f>
        <v>0</v>
      </c>
      <c r="M120" s="419">
        <f>SUMIFS('boc xe'!AD$2:AD$27,'boc xe'!$B$2:$B$27,'chia CN boc xe'!$C120)</f>
        <v>0</v>
      </c>
      <c r="N120" s="419">
        <f>SUMIFS('boc xe'!AE$2:AE$27,'boc xe'!$B$2:$B$27,'chia CN boc xe'!$C120)</f>
        <v>0</v>
      </c>
      <c r="O120" s="419">
        <f>SUMIFS('boc xe'!AF$2:AF$27,'boc xe'!$B$2:$B$27,'chia CN boc xe'!$C120)</f>
        <v>0</v>
      </c>
      <c r="P120" s="419">
        <f>SUMIFS('boc xe'!AG$2:AG$27,'boc xe'!$B$2:$B$27,'chia CN boc xe'!$C120)</f>
        <v>0</v>
      </c>
      <c r="Q120" s="419">
        <f>SUMIFS('boc xe'!AH$2:AH$27,'boc xe'!$B$2:$B$27,'chia CN boc xe'!$C120)</f>
        <v>0</v>
      </c>
      <c r="R120" s="419">
        <f>SUMIFS('boc xe'!AI$2:AI$27,'boc xe'!$B$2:$B$27,'chia CN boc xe'!$C120)</f>
        <v>0</v>
      </c>
      <c r="S120" s="419">
        <f>SUMIFS('boc xe'!AJ$2:AJ$27,'boc xe'!$B$2:$B$27,'chia CN boc xe'!$C120)</f>
        <v>0</v>
      </c>
    </row>
    <row r="121" spans="1:19">
      <c r="A121" s="421">
        <f t="shared" si="33"/>
        <v>120</v>
      </c>
      <c r="B121" s="555"/>
      <c r="C121" s="421"/>
      <c r="D121" s="419">
        <f>SUMIFS('boc xe'!U$2:U$27,'boc xe'!$B$2:$B$27,'chia CN boc xe'!$C121)</f>
        <v>0</v>
      </c>
      <c r="E121" s="419">
        <f>SUMIFS('boc xe'!V$2:V$27,'boc xe'!$B$2:$B$27,'chia CN boc xe'!$C121)</f>
        <v>0</v>
      </c>
      <c r="F121" s="419">
        <f>SUMIFS('boc xe'!W$2:W$27,'boc xe'!$B$2:$B$27,'chia CN boc xe'!$C121)</f>
        <v>0</v>
      </c>
      <c r="G121" s="419">
        <f>SUMIFS('boc xe'!X$2:X$27,'boc xe'!$B$2:$B$27,'chia CN boc xe'!$C121)</f>
        <v>0</v>
      </c>
      <c r="H121" s="419">
        <f>SUMIFS('boc xe'!Y$2:Y$27,'boc xe'!$B$2:$B$27,'chia CN boc xe'!$C121)</f>
        <v>0</v>
      </c>
      <c r="I121" s="419">
        <f>SUMIFS('boc xe'!Z$2:Z$27,'boc xe'!$B$2:$B$27,'chia CN boc xe'!$C121)</f>
        <v>0</v>
      </c>
      <c r="J121" s="419">
        <f>SUMIFS('boc xe'!AA$2:AA$27,'boc xe'!$B$2:$B$27,'chia CN boc xe'!$C121)</f>
        <v>0</v>
      </c>
      <c r="K121" s="419">
        <f>SUMIFS('boc xe'!AB$2:AB$27,'boc xe'!$B$2:$B$27,'chia CN boc xe'!$C121)</f>
        <v>0</v>
      </c>
      <c r="L121" s="419">
        <f>SUMIFS('boc xe'!AC$2:AC$27,'boc xe'!$B$2:$B$27,'chia CN boc xe'!$C121)</f>
        <v>0</v>
      </c>
      <c r="M121" s="419">
        <f>SUMIFS('boc xe'!AD$2:AD$27,'boc xe'!$B$2:$B$27,'chia CN boc xe'!$C121)</f>
        <v>0</v>
      </c>
      <c r="N121" s="419">
        <f>SUMIFS('boc xe'!AE$2:AE$27,'boc xe'!$B$2:$B$27,'chia CN boc xe'!$C121)</f>
        <v>0</v>
      </c>
      <c r="O121" s="419">
        <f>SUMIFS('boc xe'!AF$2:AF$27,'boc xe'!$B$2:$B$27,'chia CN boc xe'!$C121)</f>
        <v>0</v>
      </c>
      <c r="P121" s="419">
        <f>SUMIFS('boc xe'!AG$2:AG$27,'boc xe'!$B$2:$B$27,'chia CN boc xe'!$C121)</f>
        <v>0</v>
      </c>
      <c r="Q121" s="419">
        <f>SUMIFS('boc xe'!AH$2:AH$27,'boc xe'!$B$2:$B$27,'chia CN boc xe'!$C121)</f>
        <v>0</v>
      </c>
      <c r="R121" s="419">
        <f>SUMIFS('boc xe'!AI$2:AI$27,'boc xe'!$B$2:$B$27,'chia CN boc xe'!$C121)</f>
        <v>0</v>
      </c>
      <c r="S121" s="419">
        <f>SUMIFS('boc xe'!AJ$2:AJ$27,'boc xe'!$B$2:$B$27,'chia CN boc xe'!$C121)</f>
        <v>0</v>
      </c>
    </row>
    <row r="122" spans="1:19">
      <c r="A122" s="421">
        <f t="shared" si="33"/>
        <v>121</v>
      </c>
      <c r="B122" s="555"/>
      <c r="C122" s="421"/>
      <c r="D122" s="419">
        <f>SUMIFS('boc xe'!U$2:U$27,'boc xe'!$B$2:$B$27,'chia CN boc xe'!$C122)</f>
        <v>0</v>
      </c>
      <c r="E122" s="419">
        <f>SUMIFS('boc xe'!V$2:V$27,'boc xe'!$B$2:$B$27,'chia CN boc xe'!$C122)</f>
        <v>0</v>
      </c>
      <c r="F122" s="419">
        <f>SUMIFS('boc xe'!W$2:W$27,'boc xe'!$B$2:$B$27,'chia CN boc xe'!$C122)</f>
        <v>0</v>
      </c>
      <c r="G122" s="419">
        <f>SUMIFS('boc xe'!X$2:X$27,'boc xe'!$B$2:$B$27,'chia CN boc xe'!$C122)</f>
        <v>0</v>
      </c>
      <c r="H122" s="419">
        <f>SUMIFS('boc xe'!Y$2:Y$27,'boc xe'!$B$2:$B$27,'chia CN boc xe'!$C122)</f>
        <v>0</v>
      </c>
      <c r="I122" s="419">
        <f>SUMIFS('boc xe'!Z$2:Z$27,'boc xe'!$B$2:$B$27,'chia CN boc xe'!$C122)</f>
        <v>0</v>
      </c>
      <c r="J122" s="419">
        <f>SUMIFS('boc xe'!AA$2:AA$27,'boc xe'!$B$2:$B$27,'chia CN boc xe'!$C122)</f>
        <v>0</v>
      </c>
      <c r="K122" s="419">
        <f>SUMIFS('boc xe'!AB$2:AB$27,'boc xe'!$B$2:$B$27,'chia CN boc xe'!$C122)</f>
        <v>0</v>
      </c>
      <c r="L122" s="419">
        <f>SUMIFS('boc xe'!AC$2:AC$27,'boc xe'!$B$2:$B$27,'chia CN boc xe'!$C122)</f>
        <v>0</v>
      </c>
      <c r="M122" s="419">
        <f>SUMIFS('boc xe'!AD$2:AD$27,'boc xe'!$B$2:$B$27,'chia CN boc xe'!$C122)</f>
        <v>0</v>
      </c>
      <c r="N122" s="419">
        <f>SUMIFS('boc xe'!AE$2:AE$27,'boc xe'!$B$2:$B$27,'chia CN boc xe'!$C122)</f>
        <v>0</v>
      </c>
      <c r="O122" s="419">
        <f>SUMIFS('boc xe'!AF$2:AF$27,'boc xe'!$B$2:$B$27,'chia CN boc xe'!$C122)</f>
        <v>0</v>
      </c>
      <c r="P122" s="419">
        <f>SUMIFS('boc xe'!AG$2:AG$27,'boc xe'!$B$2:$B$27,'chia CN boc xe'!$C122)</f>
        <v>0</v>
      </c>
      <c r="Q122" s="419">
        <f>SUMIFS('boc xe'!AH$2:AH$27,'boc xe'!$B$2:$B$27,'chia CN boc xe'!$C122)</f>
        <v>0</v>
      </c>
      <c r="R122" s="419">
        <f>SUMIFS('boc xe'!AI$2:AI$27,'boc xe'!$B$2:$B$27,'chia CN boc xe'!$C122)</f>
        <v>0</v>
      </c>
      <c r="S122" s="419">
        <f>SUMIFS('boc xe'!AJ$2:AJ$27,'boc xe'!$B$2:$B$27,'chia CN boc xe'!$C122)</f>
        <v>0</v>
      </c>
    </row>
    <row r="123" spans="1:19">
      <c r="A123" s="421">
        <f t="shared" ref="A123:A138" si="50">A122+1</f>
        <v>122</v>
      </c>
      <c r="B123" s="555"/>
      <c r="C123" s="421"/>
      <c r="D123" s="419">
        <f>SUMIFS('boc xe'!U$2:U$27,'boc xe'!$B$2:$B$27,'chia CN boc xe'!$C123)</f>
        <v>0</v>
      </c>
      <c r="E123" s="419">
        <f>SUMIFS('boc xe'!V$2:V$27,'boc xe'!$B$2:$B$27,'chia CN boc xe'!$C123)</f>
        <v>0</v>
      </c>
      <c r="F123" s="419">
        <f>SUMIFS('boc xe'!W$2:W$27,'boc xe'!$B$2:$B$27,'chia CN boc xe'!$C123)</f>
        <v>0</v>
      </c>
      <c r="G123" s="419">
        <f>SUMIFS('boc xe'!X$2:X$27,'boc xe'!$B$2:$B$27,'chia CN boc xe'!$C123)</f>
        <v>0</v>
      </c>
      <c r="H123" s="419">
        <f>SUMIFS('boc xe'!Y$2:Y$27,'boc xe'!$B$2:$B$27,'chia CN boc xe'!$C123)</f>
        <v>0</v>
      </c>
      <c r="I123" s="419">
        <f>SUMIFS('boc xe'!Z$2:Z$27,'boc xe'!$B$2:$B$27,'chia CN boc xe'!$C123)</f>
        <v>0</v>
      </c>
      <c r="J123" s="419">
        <f>SUMIFS('boc xe'!AA$2:AA$27,'boc xe'!$B$2:$B$27,'chia CN boc xe'!$C123)</f>
        <v>0</v>
      </c>
      <c r="K123" s="419">
        <f>SUMIFS('boc xe'!AB$2:AB$27,'boc xe'!$B$2:$B$27,'chia CN boc xe'!$C123)</f>
        <v>0</v>
      </c>
      <c r="L123" s="419">
        <f>SUMIFS('boc xe'!AC$2:AC$27,'boc xe'!$B$2:$B$27,'chia CN boc xe'!$C123)</f>
        <v>0</v>
      </c>
      <c r="M123" s="419">
        <f>SUMIFS('boc xe'!AD$2:AD$27,'boc xe'!$B$2:$B$27,'chia CN boc xe'!$C123)</f>
        <v>0</v>
      </c>
      <c r="N123" s="419">
        <f>SUMIFS('boc xe'!AE$2:AE$27,'boc xe'!$B$2:$B$27,'chia CN boc xe'!$C123)</f>
        <v>0</v>
      </c>
      <c r="O123" s="419">
        <f>SUMIFS('boc xe'!AF$2:AF$27,'boc xe'!$B$2:$B$27,'chia CN boc xe'!$C123)</f>
        <v>0</v>
      </c>
      <c r="P123" s="419">
        <f>SUMIFS('boc xe'!AG$2:AG$27,'boc xe'!$B$2:$B$27,'chia CN boc xe'!$C123)</f>
        <v>0</v>
      </c>
      <c r="Q123" s="419">
        <f>SUMIFS('boc xe'!AH$2:AH$27,'boc xe'!$B$2:$B$27,'chia CN boc xe'!$C123)</f>
        <v>0</v>
      </c>
      <c r="R123" s="419">
        <f>SUMIFS('boc xe'!AI$2:AI$27,'boc xe'!$B$2:$B$27,'chia CN boc xe'!$C123)</f>
        <v>0</v>
      </c>
      <c r="S123" s="419">
        <f>SUMIFS('boc xe'!AJ$2:AJ$27,'boc xe'!$B$2:$B$27,'chia CN boc xe'!$C123)</f>
        <v>0</v>
      </c>
    </row>
    <row r="124" spans="1:19">
      <c r="A124" s="421">
        <f t="shared" si="50"/>
        <v>123</v>
      </c>
      <c r="B124" s="555"/>
      <c r="C124" s="421"/>
      <c r="D124" s="419">
        <f>SUMIFS('boc xe'!U$2:U$27,'boc xe'!$B$2:$B$27,'chia CN boc xe'!$C124)</f>
        <v>0</v>
      </c>
      <c r="E124" s="419">
        <f>SUMIFS('boc xe'!V$2:V$27,'boc xe'!$B$2:$B$27,'chia CN boc xe'!$C124)</f>
        <v>0</v>
      </c>
      <c r="F124" s="419">
        <f>SUMIFS('boc xe'!W$2:W$27,'boc xe'!$B$2:$B$27,'chia CN boc xe'!$C124)</f>
        <v>0</v>
      </c>
      <c r="G124" s="419">
        <f>SUMIFS('boc xe'!X$2:X$27,'boc xe'!$B$2:$B$27,'chia CN boc xe'!$C124)</f>
        <v>0</v>
      </c>
      <c r="H124" s="419">
        <f>SUMIFS('boc xe'!Y$2:Y$27,'boc xe'!$B$2:$B$27,'chia CN boc xe'!$C124)</f>
        <v>0</v>
      </c>
      <c r="I124" s="419">
        <f>SUMIFS('boc xe'!Z$2:Z$27,'boc xe'!$B$2:$B$27,'chia CN boc xe'!$C124)</f>
        <v>0</v>
      </c>
      <c r="J124" s="419">
        <f>SUMIFS('boc xe'!AA$2:AA$27,'boc xe'!$B$2:$B$27,'chia CN boc xe'!$C124)</f>
        <v>0</v>
      </c>
      <c r="K124" s="419">
        <f>SUMIFS('boc xe'!AB$2:AB$27,'boc xe'!$B$2:$B$27,'chia CN boc xe'!$C124)</f>
        <v>0</v>
      </c>
      <c r="L124" s="419">
        <f>SUMIFS('boc xe'!AC$2:AC$27,'boc xe'!$B$2:$B$27,'chia CN boc xe'!$C124)</f>
        <v>0</v>
      </c>
      <c r="M124" s="419">
        <f>SUMIFS('boc xe'!AD$2:AD$27,'boc xe'!$B$2:$B$27,'chia CN boc xe'!$C124)</f>
        <v>0</v>
      </c>
      <c r="N124" s="419">
        <f>SUMIFS('boc xe'!AE$2:AE$27,'boc xe'!$B$2:$B$27,'chia CN boc xe'!$C124)</f>
        <v>0</v>
      </c>
      <c r="O124" s="419">
        <f>SUMIFS('boc xe'!AF$2:AF$27,'boc xe'!$B$2:$B$27,'chia CN boc xe'!$C124)</f>
        <v>0</v>
      </c>
      <c r="P124" s="419">
        <f>SUMIFS('boc xe'!AG$2:AG$27,'boc xe'!$B$2:$B$27,'chia CN boc xe'!$C124)</f>
        <v>0</v>
      </c>
      <c r="Q124" s="419">
        <f>SUMIFS('boc xe'!AH$2:AH$27,'boc xe'!$B$2:$B$27,'chia CN boc xe'!$C124)</f>
        <v>0</v>
      </c>
      <c r="R124" s="419">
        <f>SUMIFS('boc xe'!AI$2:AI$27,'boc xe'!$B$2:$B$27,'chia CN boc xe'!$C124)</f>
        <v>0</v>
      </c>
      <c r="S124" s="419">
        <f>SUMIFS('boc xe'!AJ$2:AJ$27,'boc xe'!$B$2:$B$27,'chia CN boc xe'!$C124)</f>
        <v>0</v>
      </c>
    </row>
    <row r="125" spans="1:19">
      <c r="A125" s="421">
        <f t="shared" si="50"/>
        <v>124</v>
      </c>
      <c r="B125" s="555"/>
      <c r="C125" s="421"/>
      <c r="D125" s="419">
        <f>SUMIFS('boc xe'!U$2:U$27,'boc xe'!$B$2:$B$27,'chia CN boc xe'!$C125)</f>
        <v>0</v>
      </c>
      <c r="E125" s="419">
        <f>SUMIFS('boc xe'!V$2:V$27,'boc xe'!$B$2:$B$27,'chia CN boc xe'!$C125)</f>
        <v>0</v>
      </c>
      <c r="F125" s="419">
        <f>SUMIFS('boc xe'!W$2:W$27,'boc xe'!$B$2:$B$27,'chia CN boc xe'!$C125)</f>
        <v>0</v>
      </c>
      <c r="G125" s="419">
        <f>SUMIFS('boc xe'!X$2:X$27,'boc xe'!$B$2:$B$27,'chia CN boc xe'!$C125)</f>
        <v>0</v>
      </c>
      <c r="H125" s="419">
        <f>SUMIFS('boc xe'!Y$2:Y$27,'boc xe'!$B$2:$B$27,'chia CN boc xe'!$C125)</f>
        <v>0</v>
      </c>
      <c r="I125" s="419">
        <f>SUMIFS('boc xe'!Z$2:Z$27,'boc xe'!$B$2:$B$27,'chia CN boc xe'!$C125)</f>
        <v>0</v>
      </c>
      <c r="J125" s="419">
        <f>SUMIFS('boc xe'!AA$2:AA$27,'boc xe'!$B$2:$B$27,'chia CN boc xe'!$C125)</f>
        <v>0</v>
      </c>
      <c r="K125" s="419">
        <f>SUMIFS('boc xe'!AB$2:AB$27,'boc xe'!$B$2:$B$27,'chia CN boc xe'!$C125)</f>
        <v>0</v>
      </c>
      <c r="L125" s="419">
        <f>SUMIFS('boc xe'!AC$2:AC$27,'boc xe'!$B$2:$B$27,'chia CN boc xe'!$C125)</f>
        <v>0</v>
      </c>
      <c r="M125" s="419">
        <f>SUMIFS('boc xe'!AD$2:AD$27,'boc xe'!$B$2:$B$27,'chia CN boc xe'!$C125)</f>
        <v>0</v>
      </c>
      <c r="N125" s="419">
        <f>SUMIFS('boc xe'!AE$2:AE$27,'boc xe'!$B$2:$B$27,'chia CN boc xe'!$C125)</f>
        <v>0</v>
      </c>
      <c r="O125" s="419">
        <f>SUMIFS('boc xe'!AF$2:AF$27,'boc xe'!$B$2:$B$27,'chia CN boc xe'!$C125)</f>
        <v>0</v>
      </c>
      <c r="P125" s="419">
        <f>SUMIFS('boc xe'!AG$2:AG$27,'boc xe'!$B$2:$B$27,'chia CN boc xe'!$C125)</f>
        <v>0</v>
      </c>
      <c r="Q125" s="419">
        <f>SUMIFS('boc xe'!AH$2:AH$27,'boc xe'!$B$2:$B$27,'chia CN boc xe'!$C125)</f>
        <v>0</v>
      </c>
      <c r="R125" s="419">
        <f>SUMIFS('boc xe'!AI$2:AI$27,'boc xe'!$B$2:$B$27,'chia CN boc xe'!$C125)</f>
        <v>0</v>
      </c>
      <c r="S125" s="419">
        <f>SUMIFS('boc xe'!AJ$2:AJ$27,'boc xe'!$B$2:$B$27,'chia CN boc xe'!$C125)</f>
        <v>0</v>
      </c>
    </row>
    <row r="126" spans="1:19">
      <c r="A126" s="421">
        <f t="shared" si="50"/>
        <v>125</v>
      </c>
      <c r="B126" s="555"/>
      <c r="C126" s="35"/>
      <c r="D126" s="419">
        <f>SUMIFS('boc xe'!U$2:U$27,'boc xe'!$B$2:$B$27,'chia CN boc xe'!$C126)</f>
        <v>0</v>
      </c>
      <c r="E126" s="419">
        <f>SUMIFS('boc xe'!V$2:V$27,'boc xe'!$B$2:$B$27,'chia CN boc xe'!$C126)</f>
        <v>0</v>
      </c>
      <c r="F126" s="419">
        <f>SUMIFS('boc xe'!W$2:W$27,'boc xe'!$B$2:$B$27,'chia CN boc xe'!$C126)</f>
        <v>0</v>
      </c>
      <c r="G126" s="419">
        <f>SUMIFS('boc xe'!X$2:X$27,'boc xe'!$B$2:$B$27,'chia CN boc xe'!$C126)</f>
        <v>0</v>
      </c>
      <c r="H126" s="419">
        <f>SUMIFS('boc xe'!Y$2:Y$27,'boc xe'!$B$2:$B$27,'chia CN boc xe'!$C126)</f>
        <v>0</v>
      </c>
      <c r="I126" s="419">
        <f>SUMIFS('boc xe'!Z$2:Z$27,'boc xe'!$B$2:$B$27,'chia CN boc xe'!$C126)</f>
        <v>0</v>
      </c>
      <c r="J126" s="419">
        <f>SUMIFS('boc xe'!AA$2:AA$27,'boc xe'!$B$2:$B$27,'chia CN boc xe'!$C126)</f>
        <v>0</v>
      </c>
      <c r="K126" s="419">
        <f>SUMIFS('boc xe'!AB$2:AB$27,'boc xe'!$B$2:$B$27,'chia CN boc xe'!$C126)</f>
        <v>0</v>
      </c>
      <c r="L126" s="419">
        <f>SUMIFS('boc xe'!AC$2:AC$27,'boc xe'!$B$2:$B$27,'chia CN boc xe'!$C126)</f>
        <v>0</v>
      </c>
      <c r="M126" s="419">
        <f>SUMIFS('boc xe'!AD$2:AD$27,'boc xe'!$B$2:$B$27,'chia CN boc xe'!$C126)</f>
        <v>0</v>
      </c>
      <c r="N126" s="419">
        <f>SUMIFS('boc xe'!AE$2:AE$27,'boc xe'!$B$2:$B$27,'chia CN boc xe'!$C126)</f>
        <v>0</v>
      </c>
      <c r="O126" s="419">
        <f>SUMIFS('boc xe'!AF$2:AF$27,'boc xe'!$B$2:$B$27,'chia CN boc xe'!$C126)</f>
        <v>0</v>
      </c>
      <c r="P126" s="419">
        <f>SUMIFS('boc xe'!AG$2:AG$27,'boc xe'!$B$2:$B$27,'chia CN boc xe'!$C126)</f>
        <v>0</v>
      </c>
      <c r="Q126" s="419">
        <f>SUMIFS('boc xe'!AH$2:AH$27,'boc xe'!$B$2:$B$27,'chia CN boc xe'!$C126)</f>
        <v>0</v>
      </c>
      <c r="R126" s="419">
        <f>SUMIFS('boc xe'!AI$2:AI$27,'boc xe'!$B$2:$B$27,'chia CN boc xe'!$C126)</f>
        <v>0</v>
      </c>
      <c r="S126" s="419">
        <f>SUMIFS('boc xe'!AJ$2:AJ$27,'boc xe'!$B$2:$B$27,'chia CN boc xe'!$C126)</f>
        <v>0</v>
      </c>
    </row>
    <row r="127" spans="1:19">
      <c r="A127" s="421">
        <f t="shared" si="50"/>
        <v>126</v>
      </c>
      <c r="B127" s="555"/>
      <c r="C127" s="421"/>
      <c r="D127" s="419">
        <f>SUMIFS('boc xe'!U$2:U$27,'boc xe'!$B$2:$B$27,'chia CN boc xe'!$C127)</f>
        <v>0</v>
      </c>
      <c r="E127" s="419">
        <f>SUMIFS('boc xe'!V$2:V$27,'boc xe'!$B$2:$B$27,'chia CN boc xe'!$C127)</f>
        <v>0</v>
      </c>
      <c r="F127" s="419">
        <f>SUMIFS('boc xe'!W$2:W$27,'boc xe'!$B$2:$B$27,'chia CN boc xe'!$C127)</f>
        <v>0</v>
      </c>
      <c r="G127" s="419">
        <f>SUMIFS('boc xe'!X$2:X$27,'boc xe'!$B$2:$B$27,'chia CN boc xe'!$C127)</f>
        <v>0</v>
      </c>
      <c r="H127" s="419">
        <f>SUMIFS('boc xe'!Y$2:Y$27,'boc xe'!$B$2:$B$27,'chia CN boc xe'!$C127)</f>
        <v>0</v>
      </c>
      <c r="I127" s="419">
        <f>SUMIFS('boc xe'!Z$2:Z$27,'boc xe'!$B$2:$B$27,'chia CN boc xe'!$C127)</f>
        <v>0</v>
      </c>
      <c r="J127" s="419">
        <f>SUMIFS('boc xe'!AA$2:AA$27,'boc xe'!$B$2:$B$27,'chia CN boc xe'!$C127)</f>
        <v>0</v>
      </c>
      <c r="K127" s="419">
        <f>SUMIFS('boc xe'!AB$2:AB$27,'boc xe'!$B$2:$B$27,'chia CN boc xe'!$C127)</f>
        <v>0</v>
      </c>
      <c r="L127" s="419">
        <f>SUMIFS('boc xe'!AC$2:AC$27,'boc xe'!$B$2:$B$27,'chia CN boc xe'!$C127)</f>
        <v>0</v>
      </c>
      <c r="M127" s="419">
        <f>SUMIFS('boc xe'!AD$2:AD$27,'boc xe'!$B$2:$B$27,'chia CN boc xe'!$C127)</f>
        <v>0</v>
      </c>
      <c r="N127" s="419">
        <f>SUMIFS('boc xe'!AE$2:AE$27,'boc xe'!$B$2:$B$27,'chia CN boc xe'!$C127)</f>
        <v>0</v>
      </c>
      <c r="O127" s="419">
        <f>SUMIFS('boc xe'!AF$2:AF$27,'boc xe'!$B$2:$B$27,'chia CN boc xe'!$C127)</f>
        <v>0</v>
      </c>
      <c r="P127" s="419">
        <f>SUMIFS('boc xe'!AG$2:AG$27,'boc xe'!$B$2:$B$27,'chia CN boc xe'!$C127)</f>
        <v>0</v>
      </c>
      <c r="Q127" s="419">
        <f>SUMIFS('boc xe'!AH$2:AH$27,'boc xe'!$B$2:$B$27,'chia CN boc xe'!$C127)</f>
        <v>0</v>
      </c>
      <c r="R127" s="419">
        <f>SUMIFS('boc xe'!AI$2:AI$27,'boc xe'!$B$2:$B$27,'chia CN boc xe'!$C127)</f>
        <v>0</v>
      </c>
      <c r="S127" s="419">
        <f>SUMIFS('boc xe'!AJ$2:AJ$27,'boc xe'!$B$2:$B$27,'chia CN boc xe'!$C127)</f>
        <v>0</v>
      </c>
    </row>
    <row r="128" spans="1:19">
      <c r="A128" s="421">
        <f t="shared" si="50"/>
        <v>127</v>
      </c>
      <c r="B128" s="555"/>
      <c r="C128" s="421"/>
      <c r="D128" s="419">
        <f>SUMIFS('boc xe'!U$2:U$27,'boc xe'!$B$2:$B$27,'chia CN boc xe'!$C128)</f>
        <v>0</v>
      </c>
      <c r="E128" s="419">
        <f>SUMIFS('boc xe'!V$2:V$27,'boc xe'!$B$2:$B$27,'chia CN boc xe'!$C128)</f>
        <v>0</v>
      </c>
      <c r="F128" s="419">
        <f>SUMIFS('boc xe'!W$2:W$27,'boc xe'!$B$2:$B$27,'chia CN boc xe'!$C128)</f>
        <v>0</v>
      </c>
      <c r="G128" s="419">
        <f>SUMIFS('boc xe'!X$2:X$27,'boc xe'!$B$2:$B$27,'chia CN boc xe'!$C128)</f>
        <v>0</v>
      </c>
      <c r="H128" s="419">
        <f>SUMIFS('boc xe'!Y$2:Y$27,'boc xe'!$B$2:$B$27,'chia CN boc xe'!$C128)</f>
        <v>0</v>
      </c>
      <c r="I128" s="419">
        <f>SUMIFS('boc xe'!Z$2:Z$27,'boc xe'!$B$2:$B$27,'chia CN boc xe'!$C128)</f>
        <v>0</v>
      </c>
      <c r="J128" s="419">
        <f>SUMIFS('boc xe'!AA$2:AA$27,'boc xe'!$B$2:$B$27,'chia CN boc xe'!$C128)</f>
        <v>0</v>
      </c>
      <c r="K128" s="419">
        <f>SUMIFS('boc xe'!AB$2:AB$27,'boc xe'!$B$2:$B$27,'chia CN boc xe'!$C128)</f>
        <v>0</v>
      </c>
      <c r="L128" s="419">
        <f>SUMIFS('boc xe'!AC$2:AC$27,'boc xe'!$B$2:$B$27,'chia CN boc xe'!$C128)</f>
        <v>0</v>
      </c>
      <c r="M128" s="419">
        <f>SUMIFS('boc xe'!AD$2:AD$27,'boc xe'!$B$2:$B$27,'chia CN boc xe'!$C128)</f>
        <v>0</v>
      </c>
      <c r="N128" s="419">
        <f>SUMIFS('boc xe'!AE$2:AE$27,'boc xe'!$B$2:$B$27,'chia CN boc xe'!$C128)</f>
        <v>0</v>
      </c>
      <c r="O128" s="419">
        <f>SUMIFS('boc xe'!AF$2:AF$27,'boc xe'!$B$2:$B$27,'chia CN boc xe'!$C128)</f>
        <v>0</v>
      </c>
      <c r="P128" s="419">
        <f>SUMIFS('boc xe'!AG$2:AG$27,'boc xe'!$B$2:$B$27,'chia CN boc xe'!$C128)</f>
        <v>0</v>
      </c>
      <c r="Q128" s="419">
        <f>SUMIFS('boc xe'!AH$2:AH$27,'boc xe'!$B$2:$B$27,'chia CN boc xe'!$C128)</f>
        <v>0</v>
      </c>
      <c r="R128" s="419">
        <f>SUMIFS('boc xe'!AI$2:AI$27,'boc xe'!$B$2:$B$27,'chia CN boc xe'!$C128)</f>
        <v>0</v>
      </c>
      <c r="S128" s="419">
        <f>SUMIFS('boc xe'!AJ$2:AJ$27,'boc xe'!$B$2:$B$27,'chia CN boc xe'!$C128)</f>
        <v>0</v>
      </c>
    </row>
    <row r="129" spans="1:19">
      <c r="A129" s="421">
        <f t="shared" si="50"/>
        <v>128</v>
      </c>
      <c r="B129" s="555"/>
      <c r="C129" s="421"/>
      <c r="D129" s="419">
        <f>SUMIFS('boc xe'!U$2:U$27,'boc xe'!$B$2:$B$27,'chia CN boc xe'!$C129)</f>
        <v>0</v>
      </c>
      <c r="E129" s="419">
        <f>SUMIFS('boc xe'!V$2:V$27,'boc xe'!$B$2:$B$27,'chia CN boc xe'!$C129)</f>
        <v>0</v>
      </c>
      <c r="F129" s="419">
        <f>SUMIFS('boc xe'!W$2:W$27,'boc xe'!$B$2:$B$27,'chia CN boc xe'!$C129)</f>
        <v>0</v>
      </c>
      <c r="G129" s="419">
        <f>SUMIFS('boc xe'!X$2:X$27,'boc xe'!$B$2:$B$27,'chia CN boc xe'!$C129)</f>
        <v>0</v>
      </c>
      <c r="H129" s="419">
        <f>SUMIFS('boc xe'!Y$2:Y$27,'boc xe'!$B$2:$B$27,'chia CN boc xe'!$C129)</f>
        <v>0</v>
      </c>
      <c r="I129" s="419">
        <f>SUMIFS('boc xe'!Z$2:Z$27,'boc xe'!$B$2:$B$27,'chia CN boc xe'!$C129)</f>
        <v>0</v>
      </c>
      <c r="J129" s="419">
        <f>SUMIFS('boc xe'!AA$2:AA$27,'boc xe'!$B$2:$B$27,'chia CN boc xe'!$C129)</f>
        <v>0</v>
      </c>
      <c r="K129" s="419">
        <f>SUMIFS('boc xe'!AB$2:AB$27,'boc xe'!$B$2:$B$27,'chia CN boc xe'!$C129)</f>
        <v>0</v>
      </c>
      <c r="L129" s="419">
        <f>SUMIFS('boc xe'!AC$2:AC$27,'boc xe'!$B$2:$B$27,'chia CN boc xe'!$C129)</f>
        <v>0</v>
      </c>
      <c r="M129" s="419">
        <f>SUMIFS('boc xe'!AD$2:AD$27,'boc xe'!$B$2:$B$27,'chia CN boc xe'!$C129)</f>
        <v>0</v>
      </c>
      <c r="N129" s="419">
        <f>SUMIFS('boc xe'!AE$2:AE$27,'boc xe'!$B$2:$B$27,'chia CN boc xe'!$C129)</f>
        <v>0</v>
      </c>
      <c r="O129" s="419">
        <f>SUMIFS('boc xe'!AF$2:AF$27,'boc xe'!$B$2:$B$27,'chia CN boc xe'!$C129)</f>
        <v>0</v>
      </c>
      <c r="P129" s="419">
        <f>SUMIFS('boc xe'!AG$2:AG$27,'boc xe'!$B$2:$B$27,'chia CN boc xe'!$C129)</f>
        <v>0</v>
      </c>
      <c r="Q129" s="419">
        <f>SUMIFS('boc xe'!AH$2:AH$27,'boc xe'!$B$2:$B$27,'chia CN boc xe'!$C129)</f>
        <v>0</v>
      </c>
      <c r="R129" s="419">
        <f>SUMIFS('boc xe'!AI$2:AI$27,'boc xe'!$B$2:$B$27,'chia CN boc xe'!$C129)</f>
        <v>0</v>
      </c>
      <c r="S129" s="419">
        <f>SUMIFS('boc xe'!AJ$2:AJ$27,'boc xe'!$B$2:$B$27,'chia CN boc xe'!$C129)</f>
        <v>0</v>
      </c>
    </row>
    <row r="130" spans="1:19">
      <c r="A130" s="421">
        <f t="shared" si="50"/>
        <v>129</v>
      </c>
      <c r="B130" s="555"/>
      <c r="C130" s="421"/>
      <c r="D130" s="419">
        <f>SUMIFS('boc xe'!U$2:U$27,'boc xe'!$B$2:$B$27,'chia CN boc xe'!$C130)</f>
        <v>0</v>
      </c>
      <c r="E130" s="419">
        <f>SUMIFS('boc xe'!V$2:V$27,'boc xe'!$B$2:$B$27,'chia CN boc xe'!$C130)</f>
        <v>0</v>
      </c>
      <c r="F130" s="419">
        <f>SUMIFS('boc xe'!W$2:W$27,'boc xe'!$B$2:$B$27,'chia CN boc xe'!$C130)</f>
        <v>0</v>
      </c>
      <c r="G130" s="419">
        <f>SUMIFS('boc xe'!X$2:X$27,'boc xe'!$B$2:$B$27,'chia CN boc xe'!$C130)</f>
        <v>0</v>
      </c>
      <c r="H130" s="419">
        <f>SUMIFS('boc xe'!Y$2:Y$27,'boc xe'!$B$2:$B$27,'chia CN boc xe'!$C130)</f>
        <v>0</v>
      </c>
      <c r="I130" s="419">
        <f>SUMIFS('boc xe'!Z$2:Z$27,'boc xe'!$B$2:$B$27,'chia CN boc xe'!$C130)</f>
        <v>0</v>
      </c>
      <c r="J130" s="419">
        <f>SUMIFS('boc xe'!AA$2:AA$27,'boc xe'!$B$2:$B$27,'chia CN boc xe'!$C130)</f>
        <v>0</v>
      </c>
      <c r="K130" s="419">
        <f>SUMIFS('boc xe'!AB$2:AB$27,'boc xe'!$B$2:$B$27,'chia CN boc xe'!$C130)</f>
        <v>0</v>
      </c>
      <c r="L130" s="419">
        <f>SUMIFS('boc xe'!AC$2:AC$27,'boc xe'!$B$2:$B$27,'chia CN boc xe'!$C130)</f>
        <v>0</v>
      </c>
      <c r="M130" s="419">
        <f>SUMIFS('boc xe'!AD$2:AD$27,'boc xe'!$B$2:$B$27,'chia CN boc xe'!$C130)</f>
        <v>0</v>
      </c>
      <c r="N130" s="419">
        <f>SUMIFS('boc xe'!AE$2:AE$27,'boc xe'!$B$2:$B$27,'chia CN boc xe'!$C130)</f>
        <v>0</v>
      </c>
      <c r="O130" s="419">
        <f>SUMIFS('boc xe'!AF$2:AF$27,'boc xe'!$B$2:$B$27,'chia CN boc xe'!$C130)</f>
        <v>0</v>
      </c>
      <c r="P130" s="419">
        <f>SUMIFS('boc xe'!AG$2:AG$27,'boc xe'!$B$2:$B$27,'chia CN boc xe'!$C130)</f>
        <v>0</v>
      </c>
      <c r="Q130" s="419">
        <f>SUMIFS('boc xe'!AH$2:AH$27,'boc xe'!$B$2:$B$27,'chia CN boc xe'!$C130)</f>
        <v>0</v>
      </c>
      <c r="R130" s="419">
        <f>SUMIFS('boc xe'!AI$2:AI$27,'boc xe'!$B$2:$B$27,'chia CN boc xe'!$C130)</f>
        <v>0</v>
      </c>
      <c r="S130" s="419">
        <f>SUMIFS('boc xe'!AJ$2:AJ$27,'boc xe'!$B$2:$B$27,'chia CN boc xe'!$C130)</f>
        <v>0</v>
      </c>
    </row>
    <row r="131" spans="1:19">
      <c r="A131" s="421">
        <f t="shared" si="50"/>
        <v>130</v>
      </c>
      <c r="B131" s="555"/>
      <c r="C131" s="421"/>
      <c r="D131" s="419">
        <f>SUMIFS('boc xe'!U$2:U$27,'boc xe'!$B$2:$B$27,'chia CN boc xe'!$C131)</f>
        <v>0</v>
      </c>
      <c r="E131" s="419">
        <f>SUMIFS('boc xe'!V$2:V$27,'boc xe'!$B$2:$B$27,'chia CN boc xe'!$C131)</f>
        <v>0</v>
      </c>
      <c r="F131" s="419">
        <f>SUMIFS('boc xe'!W$2:W$27,'boc xe'!$B$2:$B$27,'chia CN boc xe'!$C131)</f>
        <v>0</v>
      </c>
      <c r="G131" s="419">
        <f>SUMIFS('boc xe'!X$2:X$27,'boc xe'!$B$2:$B$27,'chia CN boc xe'!$C131)</f>
        <v>0</v>
      </c>
      <c r="H131" s="419">
        <f>SUMIFS('boc xe'!Y$2:Y$27,'boc xe'!$B$2:$B$27,'chia CN boc xe'!$C131)</f>
        <v>0</v>
      </c>
      <c r="I131" s="419">
        <f>SUMIFS('boc xe'!Z$2:Z$27,'boc xe'!$B$2:$B$27,'chia CN boc xe'!$C131)</f>
        <v>0</v>
      </c>
      <c r="J131" s="419">
        <f>SUMIFS('boc xe'!AA$2:AA$27,'boc xe'!$B$2:$B$27,'chia CN boc xe'!$C131)</f>
        <v>0</v>
      </c>
      <c r="K131" s="419">
        <f>SUMIFS('boc xe'!AB$2:AB$27,'boc xe'!$B$2:$B$27,'chia CN boc xe'!$C131)</f>
        <v>0</v>
      </c>
      <c r="L131" s="419">
        <f>SUMIFS('boc xe'!AC$2:AC$27,'boc xe'!$B$2:$B$27,'chia CN boc xe'!$C131)</f>
        <v>0</v>
      </c>
      <c r="M131" s="419">
        <f>SUMIFS('boc xe'!AD$2:AD$27,'boc xe'!$B$2:$B$27,'chia CN boc xe'!$C131)</f>
        <v>0</v>
      </c>
      <c r="N131" s="419">
        <f>SUMIFS('boc xe'!AE$2:AE$27,'boc xe'!$B$2:$B$27,'chia CN boc xe'!$C131)</f>
        <v>0</v>
      </c>
      <c r="O131" s="419">
        <f>SUMIFS('boc xe'!AF$2:AF$27,'boc xe'!$B$2:$B$27,'chia CN boc xe'!$C131)</f>
        <v>0</v>
      </c>
      <c r="P131" s="419">
        <f>SUMIFS('boc xe'!AG$2:AG$27,'boc xe'!$B$2:$B$27,'chia CN boc xe'!$C131)</f>
        <v>0</v>
      </c>
      <c r="Q131" s="419">
        <f>SUMIFS('boc xe'!AH$2:AH$27,'boc xe'!$B$2:$B$27,'chia CN boc xe'!$C131)</f>
        <v>0</v>
      </c>
      <c r="R131" s="419">
        <f>SUMIFS('boc xe'!AI$2:AI$27,'boc xe'!$B$2:$B$27,'chia CN boc xe'!$C131)</f>
        <v>0</v>
      </c>
      <c r="S131" s="419">
        <f>SUMIFS('boc xe'!AJ$2:AJ$27,'boc xe'!$B$2:$B$27,'chia CN boc xe'!$C131)</f>
        <v>0</v>
      </c>
    </row>
    <row r="132" spans="1:19">
      <c r="A132" s="421">
        <f t="shared" si="50"/>
        <v>131</v>
      </c>
      <c r="B132" s="555"/>
      <c r="C132" s="421"/>
      <c r="D132" s="419">
        <f>SUMIFS('boc xe'!U$2:U$27,'boc xe'!$B$2:$B$27,'chia CN boc xe'!$C132)</f>
        <v>0</v>
      </c>
      <c r="E132" s="419">
        <f>SUMIFS('boc xe'!V$2:V$27,'boc xe'!$B$2:$B$27,'chia CN boc xe'!$C132)</f>
        <v>0</v>
      </c>
      <c r="F132" s="419">
        <f>SUMIFS('boc xe'!W$2:W$27,'boc xe'!$B$2:$B$27,'chia CN boc xe'!$C132)</f>
        <v>0</v>
      </c>
      <c r="G132" s="419">
        <f>SUMIFS('boc xe'!X$2:X$27,'boc xe'!$B$2:$B$27,'chia CN boc xe'!$C132)</f>
        <v>0</v>
      </c>
      <c r="H132" s="419">
        <f>SUMIFS('boc xe'!Y$2:Y$27,'boc xe'!$B$2:$B$27,'chia CN boc xe'!$C132)</f>
        <v>0</v>
      </c>
      <c r="I132" s="419">
        <f>SUMIFS('boc xe'!Z$2:Z$27,'boc xe'!$B$2:$B$27,'chia CN boc xe'!$C132)</f>
        <v>0</v>
      </c>
      <c r="J132" s="419">
        <f>SUMIFS('boc xe'!AA$2:AA$27,'boc xe'!$B$2:$B$27,'chia CN boc xe'!$C132)</f>
        <v>0</v>
      </c>
      <c r="K132" s="419">
        <f>SUMIFS('boc xe'!AB$2:AB$27,'boc xe'!$B$2:$B$27,'chia CN boc xe'!$C132)</f>
        <v>0</v>
      </c>
      <c r="L132" s="419">
        <f>SUMIFS('boc xe'!AC$2:AC$27,'boc xe'!$B$2:$B$27,'chia CN boc xe'!$C132)</f>
        <v>0</v>
      </c>
      <c r="M132" s="419">
        <f>SUMIFS('boc xe'!AD$2:AD$27,'boc xe'!$B$2:$B$27,'chia CN boc xe'!$C132)</f>
        <v>0</v>
      </c>
      <c r="N132" s="419">
        <f>SUMIFS('boc xe'!AE$2:AE$27,'boc xe'!$B$2:$B$27,'chia CN boc xe'!$C132)</f>
        <v>0</v>
      </c>
      <c r="O132" s="419">
        <f>SUMIFS('boc xe'!AF$2:AF$27,'boc xe'!$B$2:$B$27,'chia CN boc xe'!$C132)</f>
        <v>0</v>
      </c>
      <c r="P132" s="419">
        <f>SUMIFS('boc xe'!AG$2:AG$27,'boc xe'!$B$2:$B$27,'chia CN boc xe'!$C132)</f>
        <v>0</v>
      </c>
      <c r="Q132" s="419">
        <f>SUMIFS('boc xe'!AH$2:AH$27,'boc xe'!$B$2:$B$27,'chia CN boc xe'!$C132)</f>
        <v>0</v>
      </c>
      <c r="R132" s="419">
        <f>SUMIFS('boc xe'!AI$2:AI$27,'boc xe'!$B$2:$B$27,'chia CN boc xe'!$C132)</f>
        <v>0</v>
      </c>
      <c r="S132" s="419">
        <f>SUMIFS('boc xe'!AJ$2:AJ$27,'boc xe'!$B$2:$B$27,'chia CN boc xe'!$C132)</f>
        <v>0</v>
      </c>
    </row>
    <row r="133" spans="1:19">
      <c r="A133" s="421">
        <f t="shared" si="50"/>
        <v>132</v>
      </c>
      <c r="B133" s="555"/>
      <c r="C133" s="421"/>
      <c r="D133" s="419">
        <f>SUMIFS('boc xe'!U$2:U$27,'boc xe'!$B$2:$B$27,'chia CN boc xe'!$C133)</f>
        <v>0</v>
      </c>
      <c r="E133" s="419">
        <f>SUMIFS('boc xe'!V$2:V$27,'boc xe'!$B$2:$B$27,'chia CN boc xe'!$C133)</f>
        <v>0</v>
      </c>
      <c r="F133" s="419">
        <f>SUMIFS('boc xe'!W$2:W$27,'boc xe'!$B$2:$B$27,'chia CN boc xe'!$C133)</f>
        <v>0</v>
      </c>
      <c r="G133" s="419">
        <f>SUMIFS('boc xe'!X$2:X$27,'boc xe'!$B$2:$B$27,'chia CN boc xe'!$C133)</f>
        <v>0</v>
      </c>
      <c r="H133" s="419">
        <f>SUMIFS('boc xe'!Y$2:Y$27,'boc xe'!$B$2:$B$27,'chia CN boc xe'!$C133)</f>
        <v>0</v>
      </c>
      <c r="I133" s="419">
        <f>SUMIFS('boc xe'!Z$2:Z$27,'boc xe'!$B$2:$B$27,'chia CN boc xe'!$C133)</f>
        <v>0</v>
      </c>
      <c r="J133" s="419">
        <f>SUMIFS('boc xe'!AA$2:AA$27,'boc xe'!$B$2:$B$27,'chia CN boc xe'!$C133)</f>
        <v>0</v>
      </c>
      <c r="K133" s="419">
        <f>SUMIFS('boc xe'!AB$2:AB$27,'boc xe'!$B$2:$B$27,'chia CN boc xe'!$C133)</f>
        <v>0</v>
      </c>
      <c r="L133" s="419">
        <f>SUMIFS('boc xe'!AC$2:AC$27,'boc xe'!$B$2:$B$27,'chia CN boc xe'!$C133)</f>
        <v>0</v>
      </c>
      <c r="M133" s="419">
        <f>SUMIFS('boc xe'!AD$2:AD$27,'boc xe'!$B$2:$B$27,'chia CN boc xe'!$C133)</f>
        <v>0</v>
      </c>
      <c r="N133" s="419">
        <f>SUMIFS('boc xe'!AE$2:AE$27,'boc xe'!$B$2:$B$27,'chia CN boc xe'!$C133)</f>
        <v>0</v>
      </c>
      <c r="O133" s="419">
        <f>SUMIFS('boc xe'!AF$2:AF$27,'boc xe'!$B$2:$B$27,'chia CN boc xe'!$C133)</f>
        <v>0</v>
      </c>
      <c r="P133" s="419">
        <f>SUMIFS('boc xe'!AG$2:AG$27,'boc xe'!$B$2:$B$27,'chia CN boc xe'!$C133)</f>
        <v>0</v>
      </c>
      <c r="Q133" s="419">
        <f>SUMIFS('boc xe'!AH$2:AH$27,'boc xe'!$B$2:$B$27,'chia CN boc xe'!$C133)</f>
        <v>0</v>
      </c>
      <c r="R133" s="419">
        <f>SUMIFS('boc xe'!AI$2:AI$27,'boc xe'!$B$2:$B$27,'chia CN boc xe'!$C133)</f>
        <v>0</v>
      </c>
      <c r="S133" s="419">
        <f>SUMIFS('boc xe'!AJ$2:AJ$27,'boc xe'!$B$2:$B$27,'chia CN boc xe'!$C133)</f>
        <v>0</v>
      </c>
    </row>
    <row r="134" spans="1:19">
      <c r="A134" s="421">
        <f t="shared" si="50"/>
        <v>133</v>
      </c>
      <c r="B134" s="555"/>
      <c r="C134" s="421"/>
      <c r="D134" s="419">
        <f>SUMIFS('boc xe'!U$2:U$27,'boc xe'!$B$2:$B$27,'chia CN boc xe'!$C134)</f>
        <v>0</v>
      </c>
      <c r="E134" s="419">
        <f>SUMIFS('boc xe'!V$2:V$27,'boc xe'!$B$2:$B$27,'chia CN boc xe'!$C134)</f>
        <v>0</v>
      </c>
      <c r="F134" s="419">
        <f>SUMIFS('boc xe'!W$2:W$27,'boc xe'!$B$2:$B$27,'chia CN boc xe'!$C134)</f>
        <v>0</v>
      </c>
      <c r="G134" s="419">
        <f>SUMIFS('boc xe'!X$2:X$27,'boc xe'!$B$2:$B$27,'chia CN boc xe'!$C134)</f>
        <v>0</v>
      </c>
      <c r="H134" s="419">
        <f>SUMIFS('boc xe'!Y$2:Y$27,'boc xe'!$B$2:$B$27,'chia CN boc xe'!$C134)</f>
        <v>0</v>
      </c>
      <c r="I134" s="419">
        <f>SUMIFS('boc xe'!Z$2:Z$27,'boc xe'!$B$2:$B$27,'chia CN boc xe'!$C134)</f>
        <v>0</v>
      </c>
      <c r="J134" s="419">
        <f>SUMIFS('boc xe'!AA$2:AA$27,'boc xe'!$B$2:$B$27,'chia CN boc xe'!$C134)</f>
        <v>0</v>
      </c>
      <c r="K134" s="419">
        <f>SUMIFS('boc xe'!AB$2:AB$27,'boc xe'!$B$2:$B$27,'chia CN boc xe'!$C134)</f>
        <v>0</v>
      </c>
      <c r="L134" s="419">
        <f>SUMIFS('boc xe'!AC$2:AC$27,'boc xe'!$B$2:$B$27,'chia CN boc xe'!$C134)</f>
        <v>0</v>
      </c>
      <c r="M134" s="419">
        <f>SUMIFS('boc xe'!AD$2:AD$27,'boc xe'!$B$2:$B$27,'chia CN boc xe'!$C134)</f>
        <v>0</v>
      </c>
      <c r="N134" s="419">
        <f>SUMIFS('boc xe'!AE$2:AE$27,'boc xe'!$B$2:$B$27,'chia CN boc xe'!$C134)</f>
        <v>0</v>
      </c>
      <c r="O134" s="419">
        <f>SUMIFS('boc xe'!AF$2:AF$27,'boc xe'!$B$2:$B$27,'chia CN boc xe'!$C134)</f>
        <v>0</v>
      </c>
      <c r="P134" s="419">
        <f>SUMIFS('boc xe'!AG$2:AG$27,'boc xe'!$B$2:$B$27,'chia CN boc xe'!$C134)</f>
        <v>0</v>
      </c>
      <c r="Q134" s="419">
        <f>SUMIFS('boc xe'!AH$2:AH$27,'boc xe'!$B$2:$B$27,'chia CN boc xe'!$C134)</f>
        <v>0</v>
      </c>
      <c r="R134" s="419">
        <f>SUMIFS('boc xe'!AI$2:AI$27,'boc xe'!$B$2:$B$27,'chia CN boc xe'!$C134)</f>
        <v>0</v>
      </c>
      <c r="S134" s="419">
        <f>SUMIFS('boc xe'!AJ$2:AJ$27,'boc xe'!$B$2:$B$27,'chia CN boc xe'!$C134)</f>
        <v>0</v>
      </c>
    </row>
    <row r="135" spans="1:19">
      <c r="A135" s="421">
        <f t="shared" si="50"/>
        <v>134</v>
      </c>
      <c r="B135" s="555"/>
      <c r="C135" s="421"/>
      <c r="D135" s="419">
        <f>SUMIFS('boc xe'!U$2:U$27,'boc xe'!$B$2:$B$27,'chia CN boc xe'!$C135)</f>
        <v>0</v>
      </c>
      <c r="E135" s="419">
        <f>SUMIFS('boc xe'!V$2:V$27,'boc xe'!$B$2:$B$27,'chia CN boc xe'!$C135)</f>
        <v>0</v>
      </c>
      <c r="F135" s="419">
        <f>SUMIFS('boc xe'!W$2:W$27,'boc xe'!$B$2:$B$27,'chia CN boc xe'!$C135)</f>
        <v>0</v>
      </c>
      <c r="G135" s="419">
        <f>SUMIFS('boc xe'!X$2:X$27,'boc xe'!$B$2:$B$27,'chia CN boc xe'!$C135)</f>
        <v>0</v>
      </c>
      <c r="H135" s="419">
        <f>SUMIFS('boc xe'!Y$2:Y$27,'boc xe'!$B$2:$B$27,'chia CN boc xe'!$C135)</f>
        <v>0</v>
      </c>
      <c r="I135" s="419">
        <f>SUMIFS('boc xe'!Z$2:Z$27,'boc xe'!$B$2:$B$27,'chia CN boc xe'!$C135)</f>
        <v>0</v>
      </c>
      <c r="J135" s="419">
        <f>SUMIFS('boc xe'!AA$2:AA$27,'boc xe'!$B$2:$B$27,'chia CN boc xe'!$C135)</f>
        <v>0</v>
      </c>
      <c r="K135" s="419">
        <f>SUMIFS('boc xe'!AB$2:AB$27,'boc xe'!$B$2:$B$27,'chia CN boc xe'!$C135)</f>
        <v>0</v>
      </c>
      <c r="L135" s="419">
        <f>SUMIFS('boc xe'!AC$2:AC$27,'boc xe'!$B$2:$B$27,'chia CN boc xe'!$C135)</f>
        <v>0</v>
      </c>
      <c r="M135" s="419">
        <f>SUMIFS('boc xe'!AD$2:AD$27,'boc xe'!$B$2:$B$27,'chia CN boc xe'!$C135)</f>
        <v>0</v>
      </c>
      <c r="N135" s="419">
        <f>SUMIFS('boc xe'!AE$2:AE$27,'boc xe'!$B$2:$B$27,'chia CN boc xe'!$C135)</f>
        <v>0</v>
      </c>
      <c r="O135" s="419">
        <f>SUMIFS('boc xe'!AF$2:AF$27,'boc xe'!$B$2:$B$27,'chia CN boc xe'!$C135)</f>
        <v>0</v>
      </c>
      <c r="P135" s="419">
        <f>SUMIFS('boc xe'!AG$2:AG$27,'boc xe'!$B$2:$B$27,'chia CN boc xe'!$C135)</f>
        <v>0</v>
      </c>
      <c r="Q135" s="419">
        <f>SUMIFS('boc xe'!AH$2:AH$27,'boc xe'!$B$2:$B$27,'chia CN boc xe'!$C135)</f>
        <v>0</v>
      </c>
      <c r="R135" s="419">
        <f>SUMIFS('boc xe'!AI$2:AI$27,'boc xe'!$B$2:$B$27,'chia CN boc xe'!$C135)</f>
        <v>0</v>
      </c>
      <c r="S135" s="419">
        <f>SUMIFS('boc xe'!AJ$2:AJ$27,'boc xe'!$B$2:$B$27,'chia CN boc xe'!$C135)</f>
        <v>0</v>
      </c>
    </row>
    <row r="136" spans="1:19">
      <c r="A136" s="421">
        <f t="shared" si="50"/>
        <v>135</v>
      </c>
      <c r="B136" s="555"/>
      <c r="C136" s="421"/>
      <c r="D136" s="419">
        <f>SUMIFS('boc xe'!U$2:U$27,'boc xe'!$B$2:$B$27,'chia CN boc xe'!$C136)</f>
        <v>0</v>
      </c>
      <c r="E136" s="419">
        <f>SUMIFS('boc xe'!V$2:V$27,'boc xe'!$B$2:$B$27,'chia CN boc xe'!$C136)</f>
        <v>0</v>
      </c>
      <c r="F136" s="419">
        <f>SUMIFS('boc xe'!W$2:W$27,'boc xe'!$B$2:$B$27,'chia CN boc xe'!$C136)</f>
        <v>0</v>
      </c>
      <c r="G136" s="419">
        <f>SUMIFS('boc xe'!X$2:X$27,'boc xe'!$B$2:$B$27,'chia CN boc xe'!$C136)</f>
        <v>0</v>
      </c>
      <c r="H136" s="419">
        <f>SUMIFS('boc xe'!Y$2:Y$27,'boc xe'!$B$2:$B$27,'chia CN boc xe'!$C136)</f>
        <v>0</v>
      </c>
      <c r="I136" s="419">
        <f>SUMIFS('boc xe'!Z$2:Z$27,'boc xe'!$B$2:$B$27,'chia CN boc xe'!$C136)</f>
        <v>0</v>
      </c>
      <c r="J136" s="419">
        <f>SUMIFS('boc xe'!AA$2:AA$27,'boc xe'!$B$2:$B$27,'chia CN boc xe'!$C136)</f>
        <v>0</v>
      </c>
      <c r="K136" s="419">
        <f>SUMIFS('boc xe'!AB$2:AB$27,'boc xe'!$B$2:$B$27,'chia CN boc xe'!$C136)</f>
        <v>0</v>
      </c>
      <c r="L136" s="419">
        <f>SUMIFS('boc xe'!AC$2:AC$27,'boc xe'!$B$2:$B$27,'chia CN boc xe'!$C136)</f>
        <v>0</v>
      </c>
      <c r="M136" s="419">
        <f>SUMIFS('boc xe'!AD$2:AD$27,'boc xe'!$B$2:$B$27,'chia CN boc xe'!$C136)</f>
        <v>0</v>
      </c>
      <c r="N136" s="419">
        <f>SUMIFS('boc xe'!AE$2:AE$27,'boc xe'!$B$2:$B$27,'chia CN boc xe'!$C136)</f>
        <v>0</v>
      </c>
      <c r="O136" s="419">
        <f>SUMIFS('boc xe'!AF$2:AF$27,'boc xe'!$B$2:$B$27,'chia CN boc xe'!$C136)</f>
        <v>0</v>
      </c>
      <c r="P136" s="419">
        <f>SUMIFS('boc xe'!AG$2:AG$27,'boc xe'!$B$2:$B$27,'chia CN boc xe'!$C136)</f>
        <v>0</v>
      </c>
      <c r="Q136" s="419">
        <f>SUMIFS('boc xe'!AH$2:AH$27,'boc xe'!$B$2:$B$27,'chia CN boc xe'!$C136)</f>
        <v>0</v>
      </c>
      <c r="R136" s="419">
        <f>SUMIFS('boc xe'!AI$2:AI$27,'boc xe'!$B$2:$B$27,'chia CN boc xe'!$C136)</f>
        <v>0</v>
      </c>
      <c r="S136" s="419">
        <f>SUMIFS('boc xe'!AJ$2:AJ$27,'boc xe'!$B$2:$B$27,'chia CN boc xe'!$C136)</f>
        <v>0</v>
      </c>
    </row>
    <row r="137" spans="1:19">
      <c r="A137" s="421">
        <f t="shared" si="50"/>
        <v>136</v>
      </c>
      <c r="B137" s="555"/>
      <c r="C137" s="421"/>
      <c r="D137" s="419">
        <f>SUMIFS('boc xe'!U$2:U$27,'boc xe'!$B$2:$B$27,'chia CN boc xe'!$C137)</f>
        <v>0</v>
      </c>
      <c r="E137" s="419">
        <f>SUMIFS('boc xe'!V$2:V$27,'boc xe'!$B$2:$B$27,'chia CN boc xe'!$C137)</f>
        <v>0</v>
      </c>
      <c r="F137" s="419">
        <f>SUMIFS('boc xe'!W$2:W$27,'boc xe'!$B$2:$B$27,'chia CN boc xe'!$C137)</f>
        <v>0</v>
      </c>
      <c r="G137" s="419">
        <f>SUMIFS('boc xe'!X$2:X$27,'boc xe'!$B$2:$B$27,'chia CN boc xe'!$C137)</f>
        <v>0</v>
      </c>
      <c r="H137" s="419">
        <f>SUMIFS('boc xe'!Y$2:Y$27,'boc xe'!$B$2:$B$27,'chia CN boc xe'!$C137)</f>
        <v>0</v>
      </c>
      <c r="I137" s="419">
        <f>SUMIFS('boc xe'!Z$2:Z$27,'boc xe'!$B$2:$B$27,'chia CN boc xe'!$C137)</f>
        <v>0</v>
      </c>
      <c r="J137" s="419">
        <f>SUMIFS('boc xe'!AA$2:AA$27,'boc xe'!$B$2:$B$27,'chia CN boc xe'!$C137)</f>
        <v>0</v>
      </c>
      <c r="K137" s="419">
        <f>SUMIFS('boc xe'!AB$2:AB$27,'boc xe'!$B$2:$B$27,'chia CN boc xe'!$C137)</f>
        <v>0</v>
      </c>
      <c r="L137" s="419">
        <f>SUMIFS('boc xe'!AC$2:AC$27,'boc xe'!$B$2:$B$27,'chia CN boc xe'!$C137)</f>
        <v>0</v>
      </c>
      <c r="M137" s="419">
        <f>SUMIFS('boc xe'!AD$2:AD$27,'boc xe'!$B$2:$B$27,'chia CN boc xe'!$C137)</f>
        <v>0</v>
      </c>
      <c r="N137" s="419">
        <f>SUMIFS('boc xe'!AE$2:AE$27,'boc xe'!$B$2:$B$27,'chia CN boc xe'!$C137)</f>
        <v>0</v>
      </c>
      <c r="O137" s="419">
        <f>SUMIFS('boc xe'!AF$2:AF$27,'boc xe'!$B$2:$B$27,'chia CN boc xe'!$C137)</f>
        <v>0</v>
      </c>
      <c r="P137" s="419">
        <f>SUMIFS('boc xe'!AG$2:AG$27,'boc xe'!$B$2:$B$27,'chia CN boc xe'!$C137)</f>
        <v>0</v>
      </c>
      <c r="Q137" s="419">
        <f>SUMIFS('boc xe'!AH$2:AH$27,'boc xe'!$B$2:$B$27,'chia CN boc xe'!$C137)</f>
        <v>0</v>
      </c>
      <c r="R137" s="419">
        <f>SUMIFS('boc xe'!AI$2:AI$27,'boc xe'!$B$2:$B$27,'chia CN boc xe'!$C137)</f>
        <v>0</v>
      </c>
      <c r="S137" s="419">
        <f>SUMIFS('boc xe'!AJ$2:AJ$27,'boc xe'!$B$2:$B$27,'chia CN boc xe'!$C137)</f>
        <v>0</v>
      </c>
    </row>
    <row r="138" spans="1:19">
      <c r="A138" s="421">
        <f t="shared" si="50"/>
        <v>137</v>
      </c>
      <c r="B138" s="555"/>
      <c r="C138" s="421"/>
      <c r="D138" s="419">
        <f>SUMIFS('boc xe'!U$2:U$27,'boc xe'!$B$2:$B$27,'chia CN boc xe'!$C138)</f>
        <v>0</v>
      </c>
      <c r="E138" s="419">
        <f>SUMIFS('boc xe'!V$2:V$27,'boc xe'!$B$2:$B$27,'chia CN boc xe'!$C138)</f>
        <v>0</v>
      </c>
      <c r="F138" s="419">
        <f>SUMIFS('boc xe'!W$2:W$27,'boc xe'!$B$2:$B$27,'chia CN boc xe'!$C138)</f>
        <v>0</v>
      </c>
      <c r="G138" s="419">
        <f>SUMIFS('boc xe'!X$2:X$27,'boc xe'!$B$2:$B$27,'chia CN boc xe'!$C138)</f>
        <v>0</v>
      </c>
      <c r="H138" s="419">
        <f>SUMIFS('boc xe'!Y$2:Y$27,'boc xe'!$B$2:$B$27,'chia CN boc xe'!$C138)</f>
        <v>0</v>
      </c>
      <c r="I138" s="419">
        <f>SUMIFS('boc xe'!Z$2:Z$27,'boc xe'!$B$2:$B$27,'chia CN boc xe'!$C138)</f>
        <v>0</v>
      </c>
      <c r="J138" s="419">
        <f>SUMIFS('boc xe'!AA$2:AA$27,'boc xe'!$B$2:$B$27,'chia CN boc xe'!$C138)</f>
        <v>0</v>
      </c>
      <c r="K138" s="419">
        <f>SUMIFS('boc xe'!AB$2:AB$27,'boc xe'!$B$2:$B$27,'chia CN boc xe'!$C138)</f>
        <v>0</v>
      </c>
      <c r="L138" s="419">
        <f>SUMIFS('boc xe'!AC$2:AC$27,'boc xe'!$B$2:$B$27,'chia CN boc xe'!$C138)</f>
        <v>0</v>
      </c>
      <c r="M138" s="419">
        <f>SUMIFS('boc xe'!AD$2:AD$27,'boc xe'!$B$2:$B$27,'chia CN boc xe'!$C138)</f>
        <v>0</v>
      </c>
      <c r="N138" s="419">
        <f>SUMIFS('boc xe'!AE$2:AE$27,'boc xe'!$B$2:$B$27,'chia CN boc xe'!$C138)</f>
        <v>0</v>
      </c>
      <c r="O138" s="419">
        <f>SUMIFS('boc xe'!AF$2:AF$27,'boc xe'!$B$2:$B$27,'chia CN boc xe'!$C138)</f>
        <v>0</v>
      </c>
      <c r="P138" s="419">
        <f>SUMIFS('boc xe'!AG$2:AG$27,'boc xe'!$B$2:$B$27,'chia CN boc xe'!$C138)</f>
        <v>0</v>
      </c>
      <c r="Q138" s="419">
        <f>SUMIFS('boc xe'!AH$2:AH$27,'boc xe'!$B$2:$B$27,'chia CN boc xe'!$C138)</f>
        <v>0</v>
      </c>
      <c r="R138" s="419">
        <f>SUMIFS('boc xe'!AI$2:AI$27,'boc xe'!$B$2:$B$27,'chia CN boc xe'!$C138)</f>
        <v>0</v>
      </c>
      <c r="S138" s="419">
        <f>SUMIFS('boc xe'!AJ$2:AJ$27,'boc xe'!$B$2:$B$27,'chia CN boc xe'!$C138)</f>
        <v>0</v>
      </c>
    </row>
  </sheetData>
  <autoFilter ref="A2:AJ131"/>
  <dataValidations count="2">
    <dataValidation type="list" allowBlank="1" showInputMessage="1" showErrorMessage="1" sqref="B110:B131 B84:B108">
      <formula1>$C$6:$C$80</formula1>
    </dataValidation>
    <dataValidation type="list" allowBlank="1" showInputMessage="1" showErrorMessage="1" sqref="B1:B2">
      <formula1>$C$6:$C$74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'1'!$C$6:$C$15</xm:f>
          </x14:formula1>
          <xm:sqref>B132:B1048576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M19"/>
  <sheetViews>
    <sheetView workbookViewId="0">
      <pane xSplit="3" ySplit="1" topLeftCell="D2" activePane="bottomRight" state="frozen"/>
      <selection activeCell="R40" sqref="R40"/>
      <selection pane="topRight" activeCell="R40" sqref="R40"/>
      <selection pane="bottomLeft" activeCell="R40" sqref="R40"/>
      <selection pane="bottomRight" activeCell="T9" sqref="T9"/>
    </sheetView>
  </sheetViews>
  <sheetFormatPr defaultRowHeight="14.4"/>
  <cols>
    <col min="1" max="1" width="4.44140625" customWidth="1"/>
    <col min="2" max="2" width="5.109375" customWidth="1"/>
    <col min="3" max="3" width="12.33203125" hidden="1" customWidth="1"/>
    <col min="4" max="4" width="4.88671875" customWidth="1"/>
    <col min="5" max="6" width="5" bestFit="1" customWidth="1"/>
    <col min="7" max="7" width="5.5546875" customWidth="1"/>
    <col min="8" max="8" width="4.44140625" customWidth="1"/>
    <col min="9" max="9" width="4.5546875" customWidth="1"/>
    <col min="10" max="10" width="5" customWidth="1"/>
    <col min="11" max="11" width="4.44140625" customWidth="1"/>
    <col min="12" max="12" width="5" bestFit="1" customWidth="1"/>
    <col min="13" max="15" width="4.44140625" customWidth="1"/>
    <col min="16" max="16" width="4.109375" customWidth="1"/>
    <col min="17" max="18" width="4.44140625" customWidth="1"/>
    <col min="19" max="19" width="4.88671875" customWidth="1"/>
    <col min="20" max="20" width="5.88671875" customWidth="1"/>
    <col min="21" max="35" width="5.6640625" customWidth="1"/>
    <col min="36" max="36" width="11" customWidth="1"/>
    <col min="37" max="37" width="3.6640625" customWidth="1"/>
  </cols>
  <sheetData>
    <row r="1" spans="1:37" s="58" customFormat="1" ht="87" customHeight="1">
      <c r="A1" s="62" t="s">
        <v>309</v>
      </c>
      <c r="B1" s="62" t="s">
        <v>307</v>
      </c>
      <c r="C1" s="62"/>
      <c r="D1" s="59" t="s">
        <v>262</v>
      </c>
      <c r="E1" s="59" t="s">
        <v>263</v>
      </c>
      <c r="F1" s="59" t="s">
        <v>264</v>
      </c>
      <c r="G1" s="59" t="s">
        <v>265</v>
      </c>
      <c r="H1" s="59" t="s">
        <v>266</v>
      </c>
      <c r="I1" s="59" t="s">
        <v>267</v>
      </c>
      <c r="J1" s="59" t="s">
        <v>268</v>
      </c>
      <c r="K1" s="59" t="s">
        <v>296</v>
      </c>
      <c r="L1" s="59" t="s">
        <v>297</v>
      </c>
      <c r="M1" s="59" t="s">
        <v>298</v>
      </c>
      <c r="N1" s="59" t="s">
        <v>299</v>
      </c>
      <c r="O1" s="59" t="s">
        <v>269</v>
      </c>
      <c r="P1" s="59" t="s">
        <v>282</v>
      </c>
      <c r="Q1" s="59" t="s">
        <v>281</v>
      </c>
      <c r="R1" s="59" t="s">
        <v>280</v>
      </c>
      <c r="S1" s="59" t="s">
        <v>314</v>
      </c>
      <c r="T1" s="57" t="s">
        <v>306</v>
      </c>
      <c r="U1" s="59" t="s">
        <v>262</v>
      </c>
      <c r="V1" s="59" t="s">
        <v>263</v>
      </c>
      <c r="W1" s="59" t="s">
        <v>264</v>
      </c>
      <c r="X1" s="59" t="s">
        <v>265</v>
      </c>
      <c r="Y1" s="59" t="s">
        <v>266</v>
      </c>
      <c r="Z1" s="59" t="s">
        <v>267</v>
      </c>
      <c r="AA1" s="59" t="s">
        <v>268</v>
      </c>
      <c r="AB1" s="59" t="s">
        <v>296</v>
      </c>
      <c r="AC1" s="59" t="s">
        <v>297</v>
      </c>
      <c r="AD1" s="59" t="s">
        <v>298</v>
      </c>
      <c r="AE1" s="59" t="s">
        <v>299</v>
      </c>
      <c r="AF1" s="59" t="s">
        <v>269</v>
      </c>
      <c r="AG1" s="59" t="s">
        <v>282</v>
      </c>
      <c r="AH1" s="59" t="s">
        <v>281</v>
      </c>
      <c r="AI1" s="59" t="s">
        <v>280</v>
      </c>
      <c r="AJ1" s="59" t="s">
        <v>314</v>
      </c>
      <c r="AK1" s="60"/>
    </row>
    <row r="2" spans="1:37">
      <c r="A2" s="35">
        <v>1</v>
      </c>
      <c r="B2" s="35">
        <v>1</v>
      </c>
      <c r="C2" s="35"/>
      <c r="D2" s="3"/>
      <c r="E2" s="3"/>
      <c r="F2" s="3"/>
      <c r="G2" s="3"/>
      <c r="H2" s="3"/>
      <c r="I2" s="418">
        <v>320</v>
      </c>
      <c r="J2" s="3"/>
      <c r="K2" s="3"/>
      <c r="L2" s="3"/>
      <c r="M2" s="3"/>
      <c r="N2" s="3"/>
      <c r="O2" s="3"/>
      <c r="P2" s="3"/>
      <c r="Q2" s="3"/>
      <c r="R2" s="3"/>
      <c r="S2" s="3"/>
      <c r="T2" s="56">
        <v>6</v>
      </c>
      <c r="U2" s="22">
        <f t="shared" ref="U2:U19" si="0">D2/$T2</f>
        <v>0</v>
      </c>
      <c r="V2" s="22">
        <f t="shared" ref="V2:AJ17" si="1">E2/$T2</f>
        <v>0</v>
      </c>
      <c r="W2" s="22">
        <f t="shared" si="1"/>
        <v>0</v>
      </c>
      <c r="X2" s="22">
        <f>(G2/3*4)/$T2</f>
        <v>0</v>
      </c>
      <c r="Y2" s="22">
        <f t="shared" si="1"/>
        <v>0</v>
      </c>
      <c r="Z2" s="22">
        <f>(I2/5*6)/$T2</f>
        <v>64</v>
      </c>
      <c r="AA2" s="22">
        <f t="shared" si="1"/>
        <v>0</v>
      </c>
      <c r="AB2" s="22">
        <f t="shared" si="1"/>
        <v>0</v>
      </c>
      <c r="AC2" s="22">
        <f t="shared" si="1"/>
        <v>0</v>
      </c>
      <c r="AD2" s="22">
        <f t="shared" si="1"/>
        <v>0</v>
      </c>
      <c r="AE2" s="22">
        <f t="shared" si="1"/>
        <v>0</v>
      </c>
      <c r="AF2" s="22">
        <f t="shared" si="1"/>
        <v>0</v>
      </c>
      <c r="AG2" s="22">
        <f t="shared" si="1"/>
        <v>0</v>
      </c>
      <c r="AH2" s="22">
        <f t="shared" si="1"/>
        <v>0</v>
      </c>
      <c r="AI2" s="22">
        <f t="shared" si="1"/>
        <v>0</v>
      </c>
      <c r="AJ2" s="22">
        <f t="shared" si="1"/>
        <v>0</v>
      </c>
      <c r="AK2" s="61"/>
    </row>
    <row r="3" spans="1:37">
      <c r="A3" s="35">
        <v>2</v>
      </c>
      <c r="B3" s="35">
        <v>2</v>
      </c>
      <c r="C3" s="35"/>
      <c r="D3" s="3"/>
      <c r="E3" s="3"/>
      <c r="F3" s="3"/>
      <c r="G3" s="3"/>
      <c r="H3" s="418"/>
      <c r="I3" s="418">
        <v>1200</v>
      </c>
      <c r="J3" s="3"/>
      <c r="K3" s="3"/>
      <c r="L3" s="418"/>
      <c r="M3" s="3"/>
      <c r="N3" s="418"/>
      <c r="O3" s="418"/>
      <c r="P3" s="418"/>
      <c r="Q3" s="418"/>
      <c r="R3" s="3"/>
      <c r="S3" s="3"/>
      <c r="T3" s="56">
        <v>6</v>
      </c>
      <c r="U3" s="22">
        <f t="shared" si="0"/>
        <v>0</v>
      </c>
      <c r="V3" s="22">
        <f t="shared" si="1"/>
        <v>0</v>
      </c>
      <c r="W3" s="22">
        <f t="shared" si="1"/>
        <v>0</v>
      </c>
      <c r="X3" s="419">
        <f t="shared" ref="X3:X19" si="2">(G3/3*4)/$T3</f>
        <v>0</v>
      </c>
      <c r="Y3" s="22">
        <f t="shared" si="1"/>
        <v>0</v>
      </c>
      <c r="Z3" s="419">
        <f t="shared" ref="Z3:Z19" si="3">(I3/5*6)/$T3</f>
        <v>240</v>
      </c>
      <c r="AA3" s="22">
        <f t="shared" si="1"/>
        <v>0</v>
      </c>
      <c r="AB3" s="22">
        <f t="shared" si="1"/>
        <v>0</v>
      </c>
      <c r="AC3" s="22">
        <f t="shared" si="1"/>
        <v>0</v>
      </c>
      <c r="AD3" s="22">
        <f t="shared" si="1"/>
        <v>0</v>
      </c>
      <c r="AE3" s="22">
        <f t="shared" si="1"/>
        <v>0</v>
      </c>
      <c r="AF3" s="22">
        <f t="shared" si="1"/>
        <v>0</v>
      </c>
      <c r="AG3" s="22">
        <f t="shared" si="1"/>
        <v>0</v>
      </c>
      <c r="AH3" s="22">
        <f t="shared" si="1"/>
        <v>0</v>
      </c>
      <c r="AI3" s="22">
        <f t="shared" si="1"/>
        <v>0</v>
      </c>
      <c r="AJ3" s="22">
        <f t="shared" si="1"/>
        <v>0</v>
      </c>
      <c r="AK3" s="61"/>
    </row>
    <row r="4" spans="1:37" s="64" customFormat="1">
      <c r="A4" s="63">
        <v>3</v>
      </c>
      <c r="B4" s="35">
        <v>3</v>
      </c>
      <c r="C4" s="63"/>
      <c r="D4" s="3"/>
      <c r="E4" s="3"/>
      <c r="F4" s="3"/>
      <c r="G4" s="3"/>
      <c r="H4" s="418"/>
      <c r="I4" s="418">
        <v>1200</v>
      </c>
      <c r="J4" s="3"/>
      <c r="K4" s="3"/>
      <c r="L4" s="418"/>
      <c r="M4" s="3"/>
      <c r="N4" s="418"/>
      <c r="O4" s="418"/>
      <c r="P4" s="418"/>
      <c r="Q4" s="418"/>
      <c r="R4" s="3"/>
      <c r="S4" s="3"/>
      <c r="T4" s="56">
        <v>6</v>
      </c>
      <c r="U4" s="22">
        <f t="shared" si="0"/>
        <v>0</v>
      </c>
      <c r="V4" s="22">
        <f t="shared" si="1"/>
        <v>0</v>
      </c>
      <c r="W4" s="22">
        <f t="shared" si="1"/>
        <v>0</v>
      </c>
      <c r="X4" s="419">
        <f>(G4/3*4)/$T4</f>
        <v>0</v>
      </c>
      <c r="Y4" s="22">
        <f>H4/$T4</f>
        <v>0</v>
      </c>
      <c r="Z4" s="419">
        <f t="shared" si="3"/>
        <v>240</v>
      </c>
      <c r="AA4" s="22">
        <f t="shared" si="1"/>
        <v>0</v>
      </c>
      <c r="AB4" s="22">
        <f t="shared" si="1"/>
        <v>0</v>
      </c>
      <c r="AC4" s="22">
        <f t="shared" si="1"/>
        <v>0</v>
      </c>
      <c r="AD4" s="22">
        <f t="shared" si="1"/>
        <v>0</v>
      </c>
      <c r="AE4" s="22">
        <f t="shared" si="1"/>
        <v>0</v>
      </c>
      <c r="AF4" s="22">
        <f t="shared" si="1"/>
        <v>0</v>
      </c>
      <c r="AG4" s="22">
        <f t="shared" si="1"/>
        <v>0</v>
      </c>
      <c r="AH4" s="22">
        <f t="shared" si="1"/>
        <v>0</v>
      </c>
      <c r="AI4" s="22">
        <f t="shared" si="1"/>
        <v>0</v>
      </c>
      <c r="AJ4" s="22">
        <f t="shared" si="1"/>
        <v>0</v>
      </c>
      <c r="AK4" s="61"/>
    </row>
    <row r="5" spans="1:37">
      <c r="A5" s="35">
        <v>4</v>
      </c>
      <c r="B5" s="35">
        <v>4</v>
      </c>
      <c r="C5" s="35"/>
      <c r="D5" s="3">
        <f>30*40</f>
        <v>1200</v>
      </c>
      <c r="E5" s="3"/>
      <c r="F5" s="3"/>
      <c r="G5" s="3"/>
      <c r="H5" s="3"/>
      <c r="I5" s="418"/>
      <c r="J5" s="3"/>
      <c r="K5" s="3"/>
      <c r="L5" s="418"/>
      <c r="M5" s="3"/>
      <c r="N5" s="418"/>
      <c r="O5" s="418"/>
      <c r="P5" s="418"/>
      <c r="Q5" s="418"/>
      <c r="R5" s="3"/>
      <c r="S5" s="3"/>
      <c r="T5" s="56">
        <v>2</v>
      </c>
      <c r="U5" s="22">
        <f t="shared" si="0"/>
        <v>600</v>
      </c>
      <c r="V5" s="22">
        <f t="shared" si="1"/>
        <v>0</v>
      </c>
      <c r="W5" s="22">
        <f t="shared" si="1"/>
        <v>0</v>
      </c>
      <c r="X5" s="419">
        <f t="shared" si="2"/>
        <v>0</v>
      </c>
      <c r="Y5" s="22">
        <f t="shared" si="1"/>
        <v>0</v>
      </c>
      <c r="Z5" s="419">
        <f t="shared" si="3"/>
        <v>0</v>
      </c>
      <c r="AA5" s="22">
        <f t="shared" si="1"/>
        <v>0</v>
      </c>
      <c r="AB5" s="22">
        <f t="shared" si="1"/>
        <v>0</v>
      </c>
      <c r="AC5" s="22">
        <f t="shared" si="1"/>
        <v>0</v>
      </c>
      <c r="AD5" s="22">
        <f t="shared" si="1"/>
        <v>0</v>
      </c>
      <c r="AE5" s="22">
        <f t="shared" si="1"/>
        <v>0</v>
      </c>
      <c r="AF5" s="22">
        <f t="shared" si="1"/>
        <v>0</v>
      </c>
      <c r="AG5" s="22">
        <f t="shared" si="1"/>
        <v>0</v>
      </c>
      <c r="AH5" s="22">
        <f t="shared" si="1"/>
        <v>0</v>
      </c>
      <c r="AI5" s="22">
        <f t="shared" si="1"/>
        <v>0</v>
      </c>
      <c r="AJ5" s="22">
        <f t="shared" si="1"/>
        <v>0</v>
      </c>
      <c r="AK5" s="61"/>
    </row>
    <row r="6" spans="1:37">
      <c r="A6" s="35">
        <v>5</v>
      </c>
      <c r="B6" s="35">
        <v>5</v>
      </c>
      <c r="C6" s="35"/>
      <c r="D6" s="3"/>
      <c r="E6" s="3"/>
      <c r="F6" s="3"/>
      <c r="G6" s="3">
        <v>1000</v>
      </c>
      <c r="H6" s="3"/>
      <c r="I6" s="418"/>
      <c r="J6" s="3"/>
      <c r="K6" s="3"/>
      <c r="L6" s="418"/>
      <c r="M6" s="3"/>
      <c r="N6" s="418"/>
      <c r="O6" s="418"/>
      <c r="P6" s="418"/>
      <c r="Q6" s="418"/>
      <c r="R6" s="3"/>
      <c r="S6" s="3"/>
      <c r="T6" s="56">
        <v>4</v>
      </c>
      <c r="U6" s="22">
        <f t="shared" si="0"/>
        <v>0</v>
      </c>
      <c r="V6" s="22">
        <f t="shared" si="1"/>
        <v>0</v>
      </c>
      <c r="W6" s="22">
        <f t="shared" si="1"/>
        <v>0</v>
      </c>
      <c r="X6" s="419">
        <f t="shared" si="2"/>
        <v>333.33333333333331</v>
      </c>
      <c r="Y6" s="22">
        <f t="shared" si="1"/>
        <v>0</v>
      </c>
      <c r="Z6" s="419">
        <f t="shared" si="3"/>
        <v>0</v>
      </c>
      <c r="AA6" s="22">
        <f t="shared" si="1"/>
        <v>0</v>
      </c>
      <c r="AB6" s="22">
        <f t="shared" si="1"/>
        <v>0</v>
      </c>
      <c r="AC6" s="22">
        <f t="shared" si="1"/>
        <v>0</v>
      </c>
      <c r="AD6" s="22">
        <f t="shared" si="1"/>
        <v>0</v>
      </c>
      <c r="AE6" s="22">
        <f t="shared" si="1"/>
        <v>0</v>
      </c>
      <c r="AF6" s="22">
        <f t="shared" si="1"/>
        <v>0</v>
      </c>
      <c r="AG6" s="22">
        <f t="shared" si="1"/>
        <v>0</v>
      </c>
      <c r="AH6" s="22">
        <f t="shared" si="1"/>
        <v>0</v>
      </c>
      <c r="AI6" s="22">
        <f t="shared" si="1"/>
        <v>0</v>
      </c>
      <c r="AJ6" s="22">
        <f t="shared" si="1"/>
        <v>0</v>
      </c>
      <c r="AK6" s="61"/>
    </row>
    <row r="7" spans="1:37">
      <c r="A7" s="35">
        <v>6</v>
      </c>
      <c r="B7" s="35">
        <v>6</v>
      </c>
      <c r="C7" s="35"/>
      <c r="D7" s="3"/>
      <c r="E7" s="3">
        <f>27*20</f>
        <v>540</v>
      </c>
      <c r="F7" s="3"/>
      <c r="G7" s="3"/>
      <c r="H7" s="3"/>
      <c r="I7" s="418"/>
      <c r="J7" s="3"/>
      <c r="K7" s="3"/>
      <c r="L7" s="418"/>
      <c r="M7" s="3"/>
      <c r="N7" s="418"/>
      <c r="O7" s="418"/>
      <c r="P7" s="418"/>
      <c r="Q7" s="418"/>
      <c r="R7" s="3"/>
      <c r="S7" s="3"/>
      <c r="T7" s="56">
        <v>2</v>
      </c>
      <c r="U7" s="22">
        <f t="shared" si="0"/>
        <v>0</v>
      </c>
      <c r="V7" s="22">
        <f t="shared" si="1"/>
        <v>270</v>
      </c>
      <c r="W7" s="22">
        <f t="shared" si="1"/>
        <v>0</v>
      </c>
      <c r="X7" s="419">
        <f t="shared" si="2"/>
        <v>0</v>
      </c>
      <c r="Y7" s="22">
        <f t="shared" si="1"/>
        <v>0</v>
      </c>
      <c r="Z7" s="419">
        <f t="shared" si="3"/>
        <v>0</v>
      </c>
      <c r="AA7" s="22">
        <f t="shared" si="1"/>
        <v>0</v>
      </c>
      <c r="AB7" s="22">
        <f t="shared" si="1"/>
        <v>0</v>
      </c>
      <c r="AC7" s="22">
        <f t="shared" si="1"/>
        <v>0</v>
      </c>
      <c r="AD7" s="22">
        <f t="shared" si="1"/>
        <v>0</v>
      </c>
      <c r="AE7" s="22">
        <f>N7/$T7</f>
        <v>0</v>
      </c>
      <c r="AF7" s="22">
        <f t="shared" si="1"/>
        <v>0</v>
      </c>
      <c r="AG7" s="22">
        <f t="shared" si="1"/>
        <v>0</v>
      </c>
      <c r="AH7" s="22">
        <f t="shared" si="1"/>
        <v>0</v>
      </c>
      <c r="AI7" s="22">
        <f t="shared" si="1"/>
        <v>0</v>
      </c>
      <c r="AJ7" s="22">
        <f t="shared" si="1"/>
        <v>0</v>
      </c>
      <c r="AK7" s="61"/>
    </row>
    <row r="8" spans="1:37">
      <c r="A8" s="35">
        <v>7</v>
      </c>
      <c r="B8" s="35">
        <v>7</v>
      </c>
      <c r="C8" s="35"/>
      <c r="D8" s="3"/>
      <c r="E8" s="3"/>
      <c r="F8" s="3"/>
      <c r="G8" s="3">
        <v>700</v>
      </c>
      <c r="H8" s="3"/>
      <c r="I8" s="418"/>
      <c r="J8" s="3"/>
      <c r="K8" s="3"/>
      <c r="L8" s="418"/>
      <c r="M8" s="3"/>
      <c r="N8" s="3"/>
      <c r="O8" s="3"/>
      <c r="P8" s="3"/>
      <c r="Q8" s="418"/>
      <c r="R8" s="3"/>
      <c r="S8" s="3"/>
      <c r="T8" s="56">
        <v>4</v>
      </c>
      <c r="U8" s="22">
        <f t="shared" si="0"/>
        <v>0</v>
      </c>
      <c r="V8" s="22">
        <f t="shared" si="1"/>
        <v>0</v>
      </c>
      <c r="W8" s="22">
        <f t="shared" si="1"/>
        <v>0</v>
      </c>
      <c r="X8" s="419">
        <f t="shared" si="2"/>
        <v>233.33333333333334</v>
      </c>
      <c r="Y8" s="22">
        <f t="shared" si="1"/>
        <v>0</v>
      </c>
      <c r="Z8" s="419">
        <f t="shared" si="3"/>
        <v>0</v>
      </c>
      <c r="AA8" s="22">
        <f t="shared" si="1"/>
        <v>0</v>
      </c>
      <c r="AB8" s="22">
        <f t="shared" si="1"/>
        <v>0</v>
      </c>
      <c r="AC8" s="22">
        <f t="shared" si="1"/>
        <v>0</v>
      </c>
      <c r="AD8" s="22">
        <f t="shared" si="1"/>
        <v>0</v>
      </c>
      <c r="AE8" s="22">
        <f t="shared" si="1"/>
        <v>0</v>
      </c>
      <c r="AF8" s="22">
        <f t="shared" si="1"/>
        <v>0</v>
      </c>
      <c r="AG8" s="22">
        <f t="shared" si="1"/>
        <v>0</v>
      </c>
      <c r="AH8" s="22">
        <f t="shared" si="1"/>
        <v>0</v>
      </c>
      <c r="AI8" s="22">
        <f t="shared" si="1"/>
        <v>0</v>
      </c>
      <c r="AJ8" s="22">
        <f t="shared" si="1"/>
        <v>0</v>
      </c>
      <c r="AK8" s="61"/>
    </row>
    <row r="9" spans="1:37">
      <c r="A9" s="35">
        <v>8</v>
      </c>
      <c r="B9" s="35">
        <v>8</v>
      </c>
      <c r="C9" s="35"/>
      <c r="D9" s="3"/>
      <c r="E9" s="3"/>
      <c r="F9" s="3"/>
      <c r="G9" s="3"/>
      <c r="H9" s="3"/>
      <c r="I9" s="418"/>
      <c r="J9" s="3"/>
      <c r="K9" s="3"/>
      <c r="L9" s="418"/>
      <c r="M9" s="3"/>
      <c r="N9" s="3"/>
      <c r="O9" s="3"/>
      <c r="P9" s="3"/>
      <c r="Q9" s="418"/>
      <c r="R9" s="3"/>
      <c r="S9" s="3"/>
      <c r="T9" s="56"/>
      <c r="U9" s="22" t="e">
        <f t="shared" si="0"/>
        <v>#DIV/0!</v>
      </c>
      <c r="V9" s="22" t="e">
        <f t="shared" si="1"/>
        <v>#DIV/0!</v>
      </c>
      <c r="W9" s="22" t="e">
        <f t="shared" si="1"/>
        <v>#DIV/0!</v>
      </c>
      <c r="X9" s="419" t="e">
        <f t="shared" si="2"/>
        <v>#DIV/0!</v>
      </c>
      <c r="Y9" s="22" t="e">
        <f t="shared" si="1"/>
        <v>#DIV/0!</v>
      </c>
      <c r="Z9" s="419" t="e">
        <f t="shared" si="3"/>
        <v>#DIV/0!</v>
      </c>
      <c r="AA9" s="22" t="e">
        <f t="shared" si="1"/>
        <v>#DIV/0!</v>
      </c>
      <c r="AB9" s="22" t="e">
        <f t="shared" si="1"/>
        <v>#DIV/0!</v>
      </c>
      <c r="AC9" s="22" t="e">
        <f t="shared" si="1"/>
        <v>#DIV/0!</v>
      </c>
      <c r="AD9" s="22" t="e">
        <f t="shared" si="1"/>
        <v>#DIV/0!</v>
      </c>
      <c r="AE9" s="22" t="e">
        <f t="shared" si="1"/>
        <v>#DIV/0!</v>
      </c>
      <c r="AF9" s="22" t="e">
        <f t="shared" si="1"/>
        <v>#DIV/0!</v>
      </c>
      <c r="AG9" s="22" t="e">
        <f t="shared" si="1"/>
        <v>#DIV/0!</v>
      </c>
      <c r="AH9" s="22" t="e">
        <f t="shared" si="1"/>
        <v>#DIV/0!</v>
      </c>
      <c r="AI9" s="22" t="e">
        <f t="shared" si="1"/>
        <v>#DIV/0!</v>
      </c>
      <c r="AJ9" s="22" t="e">
        <f t="shared" si="1"/>
        <v>#DIV/0!</v>
      </c>
      <c r="AK9" s="61"/>
    </row>
    <row r="10" spans="1:37">
      <c r="A10" s="35">
        <v>9</v>
      </c>
      <c r="B10" s="35">
        <v>9</v>
      </c>
      <c r="C10" s="35"/>
      <c r="D10" s="3"/>
      <c r="E10" s="3"/>
      <c r="F10" s="3"/>
      <c r="G10" s="3"/>
      <c r="H10" s="3"/>
      <c r="I10" s="418"/>
      <c r="J10" s="3"/>
      <c r="K10" s="3"/>
      <c r="L10" s="418"/>
      <c r="M10" s="3"/>
      <c r="N10" s="3"/>
      <c r="O10" s="3"/>
      <c r="P10" s="3"/>
      <c r="Q10" s="418"/>
      <c r="R10" s="3"/>
      <c r="S10" s="3"/>
      <c r="T10" s="56"/>
      <c r="U10" s="22" t="e">
        <f t="shared" si="0"/>
        <v>#DIV/0!</v>
      </c>
      <c r="V10" s="22" t="e">
        <f t="shared" si="1"/>
        <v>#DIV/0!</v>
      </c>
      <c r="W10" s="22" t="e">
        <f t="shared" si="1"/>
        <v>#DIV/0!</v>
      </c>
      <c r="X10" s="419" t="e">
        <f t="shared" si="2"/>
        <v>#DIV/0!</v>
      </c>
      <c r="Y10" s="22" t="e">
        <f t="shared" si="1"/>
        <v>#DIV/0!</v>
      </c>
      <c r="Z10" s="419" t="e">
        <f t="shared" si="3"/>
        <v>#DIV/0!</v>
      </c>
      <c r="AA10" s="22" t="e">
        <f t="shared" si="1"/>
        <v>#DIV/0!</v>
      </c>
      <c r="AB10" s="22" t="e">
        <f t="shared" si="1"/>
        <v>#DIV/0!</v>
      </c>
      <c r="AC10" s="22" t="e">
        <f t="shared" si="1"/>
        <v>#DIV/0!</v>
      </c>
      <c r="AD10" s="22" t="e">
        <f t="shared" si="1"/>
        <v>#DIV/0!</v>
      </c>
      <c r="AE10" s="22" t="e">
        <f t="shared" si="1"/>
        <v>#DIV/0!</v>
      </c>
      <c r="AF10" s="22" t="e">
        <f t="shared" si="1"/>
        <v>#DIV/0!</v>
      </c>
      <c r="AG10" s="22" t="e">
        <f t="shared" si="1"/>
        <v>#DIV/0!</v>
      </c>
      <c r="AH10" s="22" t="e">
        <f t="shared" si="1"/>
        <v>#DIV/0!</v>
      </c>
      <c r="AI10" s="22" t="e">
        <f t="shared" si="1"/>
        <v>#DIV/0!</v>
      </c>
      <c r="AJ10" s="22" t="e">
        <f t="shared" si="1"/>
        <v>#DIV/0!</v>
      </c>
      <c r="AK10" s="61"/>
    </row>
    <row r="11" spans="1:37">
      <c r="A11" s="35">
        <v>10</v>
      </c>
      <c r="B11" s="35">
        <v>10</v>
      </c>
      <c r="C11" s="35"/>
      <c r="D11" s="3"/>
      <c r="E11" s="3"/>
      <c r="F11" s="3"/>
      <c r="G11" s="3"/>
      <c r="H11" s="3"/>
      <c r="I11" s="418"/>
      <c r="J11" s="3"/>
      <c r="K11" s="3"/>
      <c r="L11" s="418"/>
      <c r="M11" s="3"/>
      <c r="N11" s="3"/>
      <c r="O11" s="3"/>
      <c r="P11" s="3"/>
      <c r="Q11" s="418"/>
      <c r="R11" s="3"/>
      <c r="S11" s="3"/>
      <c r="T11" s="56"/>
      <c r="U11" s="22" t="e">
        <f t="shared" si="0"/>
        <v>#DIV/0!</v>
      </c>
      <c r="V11" s="22" t="e">
        <f t="shared" si="1"/>
        <v>#DIV/0!</v>
      </c>
      <c r="W11" s="22" t="e">
        <f t="shared" si="1"/>
        <v>#DIV/0!</v>
      </c>
      <c r="X11" s="419" t="e">
        <f t="shared" si="2"/>
        <v>#DIV/0!</v>
      </c>
      <c r="Y11" s="22" t="e">
        <f t="shared" si="1"/>
        <v>#DIV/0!</v>
      </c>
      <c r="Z11" s="419" t="e">
        <f t="shared" si="3"/>
        <v>#DIV/0!</v>
      </c>
      <c r="AA11" s="22" t="e">
        <f t="shared" si="1"/>
        <v>#DIV/0!</v>
      </c>
      <c r="AB11" s="22" t="e">
        <f t="shared" si="1"/>
        <v>#DIV/0!</v>
      </c>
      <c r="AC11" s="22" t="e">
        <f t="shared" si="1"/>
        <v>#DIV/0!</v>
      </c>
      <c r="AD11" s="22" t="e">
        <f t="shared" si="1"/>
        <v>#DIV/0!</v>
      </c>
      <c r="AE11" s="22" t="e">
        <f t="shared" si="1"/>
        <v>#DIV/0!</v>
      </c>
      <c r="AF11" s="22" t="e">
        <f t="shared" si="1"/>
        <v>#DIV/0!</v>
      </c>
      <c r="AG11" s="22" t="e">
        <f t="shared" si="1"/>
        <v>#DIV/0!</v>
      </c>
      <c r="AH11" s="22" t="e">
        <f t="shared" si="1"/>
        <v>#DIV/0!</v>
      </c>
      <c r="AI11" s="22" t="e">
        <f t="shared" si="1"/>
        <v>#DIV/0!</v>
      </c>
      <c r="AJ11" s="22" t="e">
        <f t="shared" si="1"/>
        <v>#DIV/0!</v>
      </c>
      <c r="AK11" s="61"/>
    </row>
    <row r="12" spans="1:37">
      <c r="A12" s="35">
        <v>11</v>
      </c>
      <c r="B12" s="35">
        <v>11</v>
      </c>
      <c r="C12" s="35"/>
      <c r="D12" s="3"/>
      <c r="E12" s="3"/>
      <c r="F12" s="3"/>
      <c r="G12" s="3"/>
      <c r="H12" s="3"/>
      <c r="I12" s="418"/>
      <c r="J12" s="3"/>
      <c r="K12" s="3"/>
      <c r="L12" s="418"/>
      <c r="M12" s="3"/>
      <c r="N12" s="3"/>
      <c r="O12" s="3"/>
      <c r="P12" s="3"/>
      <c r="Q12" s="418"/>
      <c r="R12" s="3"/>
      <c r="S12" s="3"/>
      <c r="T12" s="56"/>
      <c r="U12" s="22" t="e">
        <f t="shared" si="0"/>
        <v>#DIV/0!</v>
      </c>
      <c r="V12" s="22" t="e">
        <f t="shared" si="1"/>
        <v>#DIV/0!</v>
      </c>
      <c r="W12" s="22" t="e">
        <f t="shared" si="1"/>
        <v>#DIV/0!</v>
      </c>
      <c r="X12" s="419" t="e">
        <f t="shared" si="2"/>
        <v>#DIV/0!</v>
      </c>
      <c r="Y12" s="22" t="e">
        <f t="shared" si="1"/>
        <v>#DIV/0!</v>
      </c>
      <c r="Z12" s="419" t="e">
        <f t="shared" si="3"/>
        <v>#DIV/0!</v>
      </c>
      <c r="AA12" s="22" t="e">
        <f t="shared" si="1"/>
        <v>#DIV/0!</v>
      </c>
      <c r="AB12" s="22" t="e">
        <f t="shared" si="1"/>
        <v>#DIV/0!</v>
      </c>
      <c r="AC12" s="22" t="e">
        <f t="shared" si="1"/>
        <v>#DIV/0!</v>
      </c>
      <c r="AD12" s="22" t="e">
        <f t="shared" si="1"/>
        <v>#DIV/0!</v>
      </c>
      <c r="AE12" s="22" t="e">
        <f t="shared" si="1"/>
        <v>#DIV/0!</v>
      </c>
      <c r="AF12" s="22" t="e">
        <f t="shared" si="1"/>
        <v>#DIV/0!</v>
      </c>
      <c r="AG12" s="22" t="e">
        <f t="shared" si="1"/>
        <v>#DIV/0!</v>
      </c>
      <c r="AH12" s="22" t="e">
        <f t="shared" si="1"/>
        <v>#DIV/0!</v>
      </c>
      <c r="AI12" s="22" t="e">
        <f t="shared" si="1"/>
        <v>#DIV/0!</v>
      </c>
      <c r="AJ12" s="22" t="e">
        <f t="shared" si="1"/>
        <v>#DIV/0!</v>
      </c>
      <c r="AK12" s="61"/>
    </row>
    <row r="13" spans="1:37">
      <c r="A13" s="35">
        <v>12</v>
      </c>
      <c r="B13" s="35">
        <v>12</v>
      </c>
      <c r="C13" s="3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418"/>
      <c r="R13" s="3"/>
      <c r="S13" s="22"/>
      <c r="T13" s="56"/>
      <c r="U13" s="22" t="e">
        <f t="shared" si="0"/>
        <v>#DIV/0!</v>
      </c>
      <c r="V13" s="22" t="e">
        <f t="shared" si="1"/>
        <v>#DIV/0!</v>
      </c>
      <c r="W13" s="22" t="e">
        <f t="shared" si="1"/>
        <v>#DIV/0!</v>
      </c>
      <c r="X13" s="419" t="e">
        <f t="shared" si="2"/>
        <v>#DIV/0!</v>
      </c>
      <c r="Y13" s="22" t="e">
        <f t="shared" si="1"/>
        <v>#DIV/0!</v>
      </c>
      <c r="Z13" s="419" t="e">
        <f t="shared" si="3"/>
        <v>#DIV/0!</v>
      </c>
      <c r="AA13" s="22" t="e">
        <f t="shared" si="1"/>
        <v>#DIV/0!</v>
      </c>
      <c r="AB13" s="22" t="e">
        <f t="shared" si="1"/>
        <v>#DIV/0!</v>
      </c>
      <c r="AC13" s="22" t="e">
        <f t="shared" si="1"/>
        <v>#DIV/0!</v>
      </c>
      <c r="AD13" s="22" t="e">
        <f t="shared" si="1"/>
        <v>#DIV/0!</v>
      </c>
      <c r="AE13" s="22" t="e">
        <f t="shared" si="1"/>
        <v>#DIV/0!</v>
      </c>
      <c r="AF13" s="22" t="e">
        <f t="shared" si="1"/>
        <v>#DIV/0!</v>
      </c>
      <c r="AG13" s="22" t="e">
        <f t="shared" si="1"/>
        <v>#DIV/0!</v>
      </c>
      <c r="AH13" s="22" t="e">
        <f t="shared" si="1"/>
        <v>#DIV/0!</v>
      </c>
      <c r="AI13" s="22" t="e">
        <f t="shared" si="1"/>
        <v>#DIV/0!</v>
      </c>
      <c r="AJ13" s="22" t="e">
        <f t="shared" si="1"/>
        <v>#DIV/0!</v>
      </c>
      <c r="AK13" s="61"/>
    </row>
    <row r="14" spans="1:37">
      <c r="A14" s="35">
        <v>13</v>
      </c>
      <c r="B14" s="35">
        <v>13</v>
      </c>
      <c r="C14" s="3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2"/>
      <c r="T14" s="56"/>
      <c r="U14" s="22" t="e">
        <f t="shared" si="0"/>
        <v>#DIV/0!</v>
      </c>
      <c r="V14" s="22" t="e">
        <f t="shared" si="1"/>
        <v>#DIV/0!</v>
      </c>
      <c r="W14" s="22" t="e">
        <f t="shared" si="1"/>
        <v>#DIV/0!</v>
      </c>
      <c r="X14" s="419" t="e">
        <f t="shared" si="2"/>
        <v>#DIV/0!</v>
      </c>
      <c r="Y14" s="22" t="e">
        <f t="shared" si="1"/>
        <v>#DIV/0!</v>
      </c>
      <c r="Z14" s="419" t="e">
        <f t="shared" si="3"/>
        <v>#DIV/0!</v>
      </c>
      <c r="AA14" s="22" t="e">
        <f t="shared" si="1"/>
        <v>#DIV/0!</v>
      </c>
      <c r="AB14" s="22" t="e">
        <f t="shared" si="1"/>
        <v>#DIV/0!</v>
      </c>
      <c r="AC14" s="22" t="e">
        <f t="shared" si="1"/>
        <v>#DIV/0!</v>
      </c>
      <c r="AD14" s="22" t="e">
        <f t="shared" si="1"/>
        <v>#DIV/0!</v>
      </c>
      <c r="AE14" s="22" t="e">
        <f t="shared" si="1"/>
        <v>#DIV/0!</v>
      </c>
      <c r="AF14" s="22" t="e">
        <f t="shared" si="1"/>
        <v>#DIV/0!</v>
      </c>
      <c r="AG14" s="22" t="e">
        <f t="shared" si="1"/>
        <v>#DIV/0!</v>
      </c>
      <c r="AH14" s="22" t="e">
        <f t="shared" si="1"/>
        <v>#DIV/0!</v>
      </c>
      <c r="AI14" s="22" t="e">
        <f t="shared" si="1"/>
        <v>#DIV/0!</v>
      </c>
      <c r="AJ14" s="22" t="e">
        <f t="shared" si="1"/>
        <v>#DIV/0!</v>
      </c>
      <c r="AK14" s="61"/>
    </row>
    <row r="15" spans="1:37">
      <c r="A15" s="35">
        <v>14</v>
      </c>
      <c r="B15" s="35">
        <v>14</v>
      </c>
      <c r="C15" s="3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2"/>
      <c r="T15" s="56"/>
      <c r="U15" s="22" t="e">
        <f t="shared" si="0"/>
        <v>#DIV/0!</v>
      </c>
      <c r="V15" s="22" t="e">
        <f t="shared" si="1"/>
        <v>#DIV/0!</v>
      </c>
      <c r="W15" s="22" t="e">
        <f t="shared" si="1"/>
        <v>#DIV/0!</v>
      </c>
      <c r="X15" s="419" t="e">
        <f t="shared" si="2"/>
        <v>#DIV/0!</v>
      </c>
      <c r="Y15" s="22" t="e">
        <f t="shared" si="1"/>
        <v>#DIV/0!</v>
      </c>
      <c r="Z15" s="419" t="e">
        <f t="shared" si="3"/>
        <v>#DIV/0!</v>
      </c>
      <c r="AA15" s="22" t="e">
        <f t="shared" si="1"/>
        <v>#DIV/0!</v>
      </c>
      <c r="AB15" s="22" t="e">
        <f t="shared" si="1"/>
        <v>#DIV/0!</v>
      </c>
      <c r="AC15" s="22" t="e">
        <f t="shared" si="1"/>
        <v>#DIV/0!</v>
      </c>
      <c r="AD15" s="22" t="e">
        <f t="shared" si="1"/>
        <v>#DIV/0!</v>
      </c>
      <c r="AE15" s="22" t="e">
        <f t="shared" si="1"/>
        <v>#DIV/0!</v>
      </c>
      <c r="AF15" s="22" t="e">
        <f t="shared" si="1"/>
        <v>#DIV/0!</v>
      </c>
      <c r="AG15" s="22" t="e">
        <f t="shared" si="1"/>
        <v>#DIV/0!</v>
      </c>
      <c r="AH15" s="22" t="e">
        <f t="shared" si="1"/>
        <v>#DIV/0!</v>
      </c>
      <c r="AI15" s="22" t="e">
        <f t="shared" si="1"/>
        <v>#DIV/0!</v>
      </c>
      <c r="AJ15" s="22" t="e">
        <f t="shared" si="1"/>
        <v>#DIV/0!</v>
      </c>
      <c r="AK15" s="61"/>
    </row>
    <row r="16" spans="1:37">
      <c r="A16" s="35">
        <v>15</v>
      </c>
      <c r="B16" s="35">
        <v>15</v>
      </c>
      <c r="C16" s="35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2"/>
      <c r="T16" s="56"/>
      <c r="U16" s="22" t="e">
        <f t="shared" si="0"/>
        <v>#DIV/0!</v>
      </c>
      <c r="V16" s="22" t="e">
        <f t="shared" si="1"/>
        <v>#DIV/0!</v>
      </c>
      <c r="W16" s="22" t="e">
        <f t="shared" si="1"/>
        <v>#DIV/0!</v>
      </c>
      <c r="X16" s="419" t="e">
        <f t="shared" si="2"/>
        <v>#DIV/0!</v>
      </c>
      <c r="Y16" s="22" t="e">
        <f t="shared" si="1"/>
        <v>#DIV/0!</v>
      </c>
      <c r="Z16" s="419" t="e">
        <f t="shared" si="3"/>
        <v>#DIV/0!</v>
      </c>
      <c r="AA16" s="22" t="e">
        <f t="shared" si="1"/>
        <v>#DIV/0!</v>
      </c>
      <c r="AB16" s="22" t="e">
        <f t="shared" si="1"/>
        <v>#DIV/0!</v>
      </c>
      <c r="AC16" s="22" t="e">
        <f t="shared" si="1"/>
        <v>#DIV/0!</v>
      </c>
      <c r="AD16" s="22" t="e">
        <f t="shared" si="1"/>
        <v>#DIV/0!</v>
      </c>
      <c r="AE16" s="22" t="e">
        <f t="shared" si="1"/>
        <v>#DIV/0!</v>
      </c>
      <c r="AF16" s="22" t="e">
        <f t="shared" si="1"/>
        <v>#DIV/0!</v>
      </c>
      <c r="AG16" s="22" t="e">
        <f t="shared" si="1"/>
        <v>#DIV/0!</v>
      </c>
      <c r="AH16" s="22" t="e">
        <f t="shared" si="1"/>
        <v>#DIV/0!</v>
      </c>
      <c r="AI16" s="22" t="e">
        <f t="shared" si="1"/>
        <v>#DIV/0!</v>
      </c>
      <c r="AJ16" s="22" t="e">
        <f t="shared" si="1"/>
        <v>#DIV/0!</v>
      </c>
      <c r="AK16" s="61"/>
    </row>
    <row r="17" spans="1:39">
      <c r="A17" s="35">
        <v>16</v>
      </c>
      <c r="B17" s="35"/>
      <c r="C17" s="35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22"/>
      <c r="T17" s="56"/>
      <c r="U17" s="22" t="e">
        <f t="shared" si="0"/>
        <v>#DIV/0!</v>
      </c>
      <c r="V17" s="22" t="e">
        <f t="shared" si="1"/>
        <v>#DIV/0!</v>
      </c>
      <c r="W17" s="22" t="e">
        <f t="shared" si="1"/>
        <v>#DIV/0!</v>
      </c>
      <c r="X17" s="419" t="e">
        <f t="shared" si="2"/>
        <v>#DIV/0!</v>
      </c>
      <c r="Y17" s="22" t="e">
        <f t="shared" si="1"/>
        <v>#DIV/0!</v>
      </c>
      <c r="Z17" s="419" t="e">
        <f t="shared" si="3"/>
        <v>#DIV/0!</v>
      </c>
      <c r="AA17" s="22" t="e">
        <f t="shared" si="1"/>
        <v>#DIV/0!</v>
      </c>
      <c r="AB17" s="22" t="e">
        <f t="shared" si="1"/>
        <v>#DIV/0!</v>
      </c>
      <c r="AC17" s="22" t="e">
        <f t="shared" si="1"/>
        <v>#DIV/0!</v>
      </c>
      <c r="AD17" s="22" t="e">
        <f t="shared" si="1"/>
        <v>#DIV/0!</v>
      </c>
      <c r="AE17" s="22" t="e">
        <f t="shared" si="1"/>
        <v>#DIV/0!</v>
      </c>
      <c r="AF17" s="22" t="e">
        <f t="shared" si="1"/>
        <v>#DIV/0!</v>
      </c>
      <c r="AG17" s="22" t="e">
        <f t="shared" si="1"/>
        <v>#DIV/0!</v>
      </c>
      <c r="AH17" s="22" t="e">
        <f t="shared" si="1"/>
        <v>#DIV/0!</v>
      </c>
      <c r="AI17" s="22" t="e">
        <f t="shared" si="1"/>
        <v>#DIV/0!</v>
      </c>
      <c r="AJ17" s="22" t="e">
        <f t="shared" si="1"/>
        <v>#DIV/0!</v>
      </c>
      <c r="AK17" s="61"/>
    </row>
    <row r="18" spans="1:39">
      <c r="A18" s="35">
        <v>17</v>
      </c>
      <c r="B18" s="35"/>
      <c r="C18" s="3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2"/>
      <c r="T18" s="56"/>
      <c r="U18" s="22" t="e">
        <f t="shared" si="0"/>
        <v>#DIV/0!</v>
      </c>
      <c r="V18" s="22" t="e">
        <f>E18/$T18</f>
        <v>#DIV/0!</v>
      </c>
      <c r="W18" s="22" t="e">
        <f>F18/$T18</f>
        <v>#DIV/0!</v>
      </c>
      <c r="X18" s="419" t="e">
        <f t="shared" si="2"/>
        <v>#DIV/0!</v>
      </c>
      <c r="Y18" s="22" t="e">
        <f>H18/$T18</f>
        <v>#DIV/0!</v>
      </c>
      <c r="Z18" s="419" t="e">
        <f t="shared" si="3"/>
        <v>#DIV/0!</v>
      </c>
      <c r="AA18" s="22" t="e">
        <f t="shared" ref="AA18:AJ19" si="4">J18/$T18</f>
        <v>#DIV/0!</v>
      </c>
      <c r="AB18" s="22" t="e">
        <f t="shared" si="4"/>
        <v>#DIV/0!</v>
      </c>
      <c r="AC18" s="22" t="e">
        <f t="shared" si="4"/>
        <v>#DIV/0!</v>
      </c>
      <c r="AD18" s="22" t="e">
        <f t="shared" si="4"/>
        <v>#DIV/0!</v>
      </c>
      <c r="AE18" s="22" t="e">
        <f t="shared" si="4"/>
        <v>#DIV/0!</v>
      </c>
      <c r="AF18" s="22" t="e">
        <f t="shared" si="4"/>
        <v>#DIV/0!</v>
      </c>
      <c r="AG18" s="22" t="e">
        <f t="shared" si="4"/>
        <v>#DIV/0!</v>
      </c>
      <c r="AH18" s="22" t="e">
        <f t="shared" si="4"/>
        <v>#DIV/0!</v>
      </c>
      <c r="AI18" s="22" t="e">
        <f t="shared" si="4"/>
        <v>#DIV/0!</v>
      </c>
      <c r="AJ18" s="22" t="e">
        <f t="shared" si="4"/>
        <v>#DIV/0!</v>
      </c>
      <c r="AK18" s="61"/>
      <c r="AM18">
        <f>6300+330+1616</f>
        <v>8246</v>
      </c>
    </row>
    <row r="19" spans="1:39">
      <c r="A19" s="35">
        <v>18</v>
      </c>
      <c r="B19" s="35"/>
      <c r="C19" s="3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2"/>
      <c r="T19" s="56"/>
      <c r="U19" s="22" t="e">
        <f t="shared" si="0"/>
        <v>#DIV/0!</v>
      </c>
      <c r="V19" s="22" t="e">
        <f>E19/$T19</f>
        <v>#DIV/0!</v>
      </c>
      <c r="W19" s="22" t="e">
        <f>F19/$T19</f>
        <v>#DIV/0!</v>
      </c>
      <c r="X19" s="419" t="e">
        <f t="shared" si="2"/>
        <v>#DIV/0!</v>
      </c>
      <c r="Y19" s="22" t="e">
        <f>H19/$T19</f>
        <v>#DIV/0!</v>
      </c>
      <c r="Z19" s="419" t="e">
        <f t="shared" si="3"/>
        <v>#DIV/0!</v>
      </c>
      <c r="AA19" s="22" t="e">
        <f t="shared" si="4"/>
        <v>#DIV/0!</v>
      </c>
      <c r="AB19" s="22" t="e">
        <f t="shared" si="4"/>
        <v>#DIV/0!</v>
      </c>
      <c r="AC19" s="22" t="e">
        <f t="shared" si="4"/>
        <v>#DIV/0!</v>
      </c>
      <c r="AD19" s="22" t="e">
        <f t="shared" si="4"/>
        <v>#DIV/0!</v>
      </c>
      <c r="AE19" s="22" t="e">
        <f t="shared" si="4"/>
        <v>#DIV/0!</v>
      </c>
      <c r="AF19" s="22" t="e">
        <f t="shared" si="4"/>
        <v>#DIV/0!</v>
      </c>
      <c r="AG19" s="22" t="e">
        <f t="shared" si="4"/>
        <v>#DIV/0!</v>
      </c>
      <c r="AH19" s="22" t="e">
        <f t="shared" si="4"/>
        <v>#DIV/0!</v>
      </c>
      <c r="AI19" s="22" t="e">
        <f t="shared" si="4"/>
        <v>#DIV/0!</v>
      </c>
      <c r="AJ19" s="22" t="e">
        <f t="shared" si="4"/>
        <v>#DIV/0!</v>
      </c>
      <c r="AK19" s="61"/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2:AK114"/>
  <sheetViews>
    <sheetView workbookViewId="0">
      <selection activeCell="C8" sqref="C8"/>
    </sheetView>
  </sheetViews>
  <sheetFormatPr defaultRowHeight="14.4"/>
  <cols>
    <col min="1" max="1" width="4.44140625" customWidth="1"/>
    <col min="2" max="2" width="19.88671875" style="334" customWidth="1"/>
    <col min="3" max="3" width="9.44140625" bestFit="1" customWidth="1"/>
    <col min="4" max="4" width="5.109375" bestFit="1" customWidth="1"/>
    <col min="5" max="5" width="6.6640625" customWidth="1"/>
    <col min="6" max="6" width="5.109375" bestFit="1" customWidth="1"/>
    <col min="7" max="7" width="5.5546875" customWidth="1"/>
    <col min="8" max="8" width="3.88671875" customWidth="1"/>
    <col min="9" max="9" width="5.109375" bestFit="1" customWidth="1"/>
    <col min="10" max="10" width="4.33203125" customWidth="1"/>
    <col min="11" max="12" width="5.109375" bestFit="1" customWidth="1"/>
    <col min="13" max="13" width="5" customWidth="1"/>
    <col min="14" max="14" width="5.5546875" customWidth="1"/>
    <col min="15" max="16" width="3.88671875" customWidth="1"/>
    <col min="17" max="17" width="5.44140625" customWidth="1"/>
    <col min="18" max="18" width="3.88671875" customWidth="1"/>
    <col min="19" max="19" width="6.88671875" customWidth="1"/>
    <col min="20" max="20" width="2.88671875" customWidth="1"/>
    <col min="21" max="21" width="3.6640625" customWidth="1"/>
    <col min="22" max="22" width="21.109375" customWidth="1"/>
    <col min="23" max="25" width="5.109375" bestFit="1" customWidth="1"/>
    <col min="26" max="26" width="6.88671875" customWidth="1"/>
    <col min="27" max="28" width="5.109375" bestFit="1" customWidth="1"/>
    <col min="29" max="29" width="3.88671875" bestFit="1" customWidth="1"/>
    <col min="30" max="32" width="5.109375" bestFit="1" customWidth="1"/>
    <col min="33" max="33" width="5" customWidth="1"/>
    <col min="34" max="37" width="3.88671875" bestFit="1" customWidth="1"/>
  </cols>
  <sheetData>
    <row r="2" spans="1:37" ht="61.5" customHeight="1">
      <c r="A2" s="35"/>
      <c r="B2" s="331" t="s">
        <v>311</v>
      </c>
      <c r="C2" s="35" t="s">
        <v>310</v>
      </c>
      <c r="D2" s="59" t="str">
        <f>SX!U1</f>
        <v>bao 3dm3</v>
      </c>
      <c r="E2" s="59" t="str">
        <f>SX!V1</f>
        <v>bao 5dm3</v>
      </c>
      <c r="F2" s="59" t="str">
        <f>SX!W1</f>
        <v>bao 10dm3</v>
      </c>
      <c r="G2" s="59" t="str">
        <f>SX!X1</f>
        <v>bao 20dm3</v>
      </c>
      <c r="H2" s="59" t="str">
        <f>SX!Y1</f>
        <v>bao 40dm3</v>
      </c>
      <c r="I2" s="59" t="str">
        <f>SX!Z1</f>
        <v>bao 50dm3</v>
      </c>
      <c r="J2" s="59" t="str">
        <f>SX!AA1</f>
        <v>bao 100dm3</v>
      </c>
      <c r="K2" s="59" t="str">
        <f>SX!AB1</f>
        <v>bao 0,2kg</v>
      </c>
      <c r="L2" s="59" t="str">
        <f>SX!AC1</f>
        <v>bao 0,5 kg</v>
      </c>
      <c r="M2" s="59" t="str">
        <f>SX!AD1</f>
        <v>bao 01kg</v>
      </c>
      <c r="N2" s="59" t="str">
        <f>SX!AE1</f>
        <v>bao 10kg</v>
      </c>
      <c r="O2" s="59" t="str">
        <f>SX!AF1</f>
        <v>bao 25kg</v>
      </c>
      <c r="P2" s="59" t="str">
        <f>SX!AG1</f>
        <v>bao 35kg</v>
      </c>
      <c r="Q2" s="59" t="str">
        <f>SX!AH1</f>
        <v>bao 40kg</v>
      </c>
      <c r="R2" s="59" t="str">
        <f>SX!AI1</f>
        <v>bao 50kg</v>
      </c>
      <c r="S2" s="59" t="s">
        <v>314</v>
      </c>
      <c r="V2" s="68"/>
      <c r="W2" s="59" t="str">
        <f t="shared" ref="W2:AK2" si="0">D2</f>
        <v>bao 3dm3</v>
      </c>
      <c r="X2" s="59" t="str">
        <f t="shared" si="0"/>
        <v>bao 5dm3</v>
      </c>
      <c r="Y2" s="59" t="str">
        <f t="shared" si="0"/>
        <v>bao 10dm3</v>
      </c>
      <c r="Z2" s="59" t="str">
        <f t="shared" si="0"/>
        <v>bao 20dm3</v>
      </c>
      <c r="AA2" s="59" t="str">
        <f t="shared" si="0"/>
        <v>bao 40dm3</v>
      </c>
      <c r="AB2" s="59" t="str">
        <f t="shared" si="0"/>
        <v>bao 50dm3</v>
      </c>
      <c r="AC2" s="59" t="str">
        <f t="shared" si="0"/>
        <v>bao 100dm3</v>
      </c>
      <c r="AD2" s="59" t="str">
        <f t="shared" si="0"/>
        <v>bao 0,2kg</v>
      </c>
      <c r="AE2" s="59" t="str">
        <f t="shared" si="0"/>
        <v>bao 0,5 kg</v>
      </c>
      <c r="AF2" s="59" t="str">
        <f t="shared" si="0"/>
        <v>bao 01kg</v>
      </c>
      <c r="AG2" s="59" t="str">
        <f t="shared" si="0"/>
        <v>bao 10kg</v>
      </c>
      <c r="AH2" s="59" t="str">
        <f t="shared" si="0"/>
        <v>bao 25kg</v>
      </c>
      <c r="AI2" s="59" t="str">
        <f t="shared" si="0"/>
        <v>bao 35kg</v>
      </c>
      <c r="AJ2" s="59" t="str">
        <f t="shared" si="0"/>
        <v>bao 40kg</v>
      </c>
      <c r="AK2" s="59" t="str">
        <f t="shared" si="0"/>
        <v>bao 50kg</v>
      </c>
    </row>
    <row r="3" spans="1:37">
      <c r="A3" s="35">
        <v>1</v>
      </c>
      <c r="B3" s="559" t="s">
        <v>599</v>
      </c>
      <c r="C3" s="35">
        <v>1</v>
      </c>
      <c r="D3" s="22">
        <f>SUMIFS(SX!U$2:U$19,SX!$B$2:$B$19,'chia CN SX'!$C3)</f>
        <v>0</v>
      </c>
      <c r="E3" s="419">
        <f>SUMIFS(SX!V$2:V$19,SX!$B$2:$B$19,'chia CN SX'!$C3)</f>
        <v>0</v>
      </c>
      <c r="F3" s="419">
        <f>SUMIFS(SX!W$2:W$19,SX!$B$2:$B$19,'chia CN SX'!$C3)</f>
        <v>0</v>
      </c>
      <c r="G3" s="419">
        <f>SUMIFS(SX!X$2:X$19,SX!$B$2:$B$19,'chia CN SX'!$C3)</f>
        <v>0</v>
      </c>
      <c r="H3" s="419">
        <f>SUMIFS(SX!Y$2:Y$19,SX!$B$2:$B$19,'chia CN SX'!$C3)</f>
        <v>0</v>
      </c>
      <c r="I3" s="419">
        <f>SUMIFS(SX!Z$2:Z$19,SX!$B$2:$B$19,'chia CN SX'!$C3)</f>
        <v>64</v>
      </c>
      <c r="J3" s="419">
        <f>SUMIFS(SX!AA$2:AA$19,SX!$B$2:$B$19,'chia CN SX'!$C3)</f>
        <v>0</v>
      </c>
      <c r="K3" s="419">
        <f>SUMIFS(SX!AB$2:AB$19,SX!$B$2:$B$19,'chia CN SX'!$C3)</f>
        <v>0</v>
      </c>
      <c r="L3" s="419">
        <f>SUMIFS(SX!AC$2:AC$19,SX!$B$2:$B$19,'chia CN SX'!$C3)</f>
        <v>0</v>
      </c>
      <c r="M3" s="419">
        <f>SUMIFS(SX!AD$2:AD$19,SX!$B$2:$B$19,'chia CN SX'!$C3)</f>
        <v>0</v>
      </c>
      <c r="N3" s="419">
        <f>SUMIFS(SX!AE$2:AE$19,SX!$B$2:$B$19,'chia CN SX'!$C3)</f>
        <v>0</v>
      </c>
      <c r="O3" s="419">
        <f>SUMIFS(SX!AF$2:AF$19,SX!$B$2:$B$19,'chia CN SX'!$C3)</f>
        <v>0</v>
      </c>
      <c r="P3" s="419">
        <f>SUMIFS(SX!AG$2:AG$19,SX!$B$2:$B$19,'chia CN SX'!$C3)</f>
        <v>0</v>
      </c>
      <c r="Q3" s="419">
        <f>SUMIFS(SX!AH$2:AH$19,SX!$B$2:$B$19,'chia CN SX'!$C3)</f>
        <v>0</v>
      </c>
      <c r="R3" s="419">
        <f>SUMIFS(SX!AI$2:AI$19,SX!$B$2:$B$19,'chia CN SX'!$C3)</f>
        <v>0</v>
      </c>
      <c r="S3" s="419">
        <f>SUMIFS(SX!AJ$2:AJ$19,SX!$B$2:$B$19,'chia CN SX'!$C3)</f>
        <v>0</v>
      </c>
      <c r="V3" s="67" t="e">
        <f>'chia CN boc xe'!U3</f>
        <v>#REF!</v>
      </c>
      <c r="W3" s="69">
        <f t="shared" ref="W3:W17" si="1">SUMIF($B$3:$B$114,$V3,D$3:D$114)</f>
        <v>0</v>
      </c>
      <c r="X3" s="69">
        <f t="shared" ref="X3:X17" si="2">SUMIF($B$3:$B$114,$V3,E$3:E$114)</f>
        <v>0</v>
      </c>
      <c r="Y3" s="69">
        <f t="shared" ref="Y3:Y17" si="3">SUMIF($B$3:$B$114,$V3,F$3:F$114)</f>
        <v>0</v>
      </c>
      <c r="Z3" s="69">
        <f t="shared" ref="Z3:Z17" si="4">SUMIF($B$3:$B$114,$V3,G$3:G$114)</f>
        <v>0</v>
      </c>
      <c r="AA3" s="69">
        <f t="shared" ref="AA3:AA17" si="5">SUMIF($B$3:$B$114,$V3,H$3:H$114)</f>
        <v>0</v>
      </c>
      <c r="AB3" s="69">
        <f t="shared" ref="AB3:AB17" si="6">SUMIF($B$3:$B$114,$V3,I$3:I$114)</f>
        <v>0</v>
      </c>
      <c r="AC3" s="69">
        <f t="shared" ref="AC3:AC17" si="7">SUMIF($B$3:$B$114,$V3,J$3:J$114)</f>
        <v>0</v>
      </c>
      <c r="AD3" s="69">
        <f t="shared" ref="AD3:AD17" si="8">SUMIF($B$3:$B$114,$V3,K$3:K$114)</f>
        <v>0</v>
      </c>
      <c r="AE3" s="69">
        <f t="shared" ref="AE3:AE17" si="9">SUMIF($B$3:$B$114,$V3,L$3:L$114)</f>
        <v>0</v>
      </c>
      <c r="AF3" s="69">
        <f t="shared" ref="AF3:AF17" si="10">SUMIF($B$3:$B$114,$V3,M$3:M$114)</f>
        <v>0</v>
      </c>
      <c r="AG3" s="69">
        <f t="shared" ref="AG3:AG17" si="11">SUMIF($B$3:$B$114,$V3,N$3:N$114)</f>
        <v>0</v>
      </c>
      <c r="AH3" s="69">
        <f t="shared" ref="AH3:AH17" si="12">SUMIF($B$3:$B$114,$V3,O$3:O$114)</f>
        <v>0</v>
      </c>
      <c r="AI3" s="69">
        <f t="shared" ref="AI3:AI17" si="13">SUMIF($B$3:$B$114,$V3,P$3:P$114)</f>
        <v>0</v>
      </c>
      <c r="AJ3" s="69">
        <f t="shared" ref="AJ3:AJ17" si="14">SUMIF($B$3:$B$114,$V3,Q$3:Q$114)</f>
        <v>0</v>
      </c>
      <c r="AK3" s="69">
        <f t="shared" ref="AK3:AK17" si="15">SUMIF($B$3:$B$114,$V3,R$3:R$114)</f>
        <v>0</v>
      </c>
    </row>
    <row r="4" spans="1:37">
      <c r="A4" s="35">
        <f>A3+1</f>
        <v>2</v>
      </c>
      <c r="B4" s="559" t="s">
        <v>601</v>
      </c>
      <c r="C4" s="421">
        <v>1</v>
      </c>
      <c r="D4" s="419">
        <f>SUMIFS(SX!U$2:U$19,SX!$B$2:$B$19,'chia CN SX'!$C4)</f>
        <v>0</v>
      </c>
      <c r="E4" s="419">
        <f>SUMIFS(SX!V$2:V$19,SX!$B$2:$B$19,'chia CN SX'!$C4)</f>
        <v>0</v>
      </c>
      <c r="F4" s="419">
        <f>SUMIFS(SX!W$2:W$19,SX!$B$2:$B$19,'chia CN SX'!$C4)</f>
        <v>0</v>
      </c>
      <c r="G4" s="419">
        <f>SUMIFS(SX!X$2:X$19,SX!$B$2:$B$19,'chia CN SX'!$C4)</f>
        <v>0</v>
      </c>
      <c r="H4" s="419">
        <f>SUMIFS(SX!Y$2:Y$19,SX!$B$2:$B$19,'chia CN SX'!$C4)</f>
        <v>0</v>
      </c>
      <c r="I4" s="419">
        <f>SUMIFS(SX!Z$2:Z$19,SX!$B$2:$B$19,'chia CN SX'!$C4)</f>
        <v>64</v>
      </c>
      <c r="J4" s="419">
        <f>SUMIFS(SX!AA$2:AA$19,SX!$B$2:$B$19,'chia CN SX'!$C4)</f>
        <v>0</v>
      </c>
      <c r="K4" s="419">
        <f>SUMIFS(SX!AB$2:AB$19,SX!$B$2:$B$19,'chia CN SX'!$C4)</f>
        <v>0</v>
      </c>
      <c r="L4" s="419">
        <f>SUMIFS(SX!AC$2:AC$19,SX!$B$2:$B$19,'chia CN SX'!$C4)</f>
        <v>0</v>
      </c>
      <c r="M4" s="419">
        <f>SUMIFS(SX!AD$2:AD$19,SX!$B$2:$B$19,'chia CN SX'!$C4)</f>
        <v>0</v>
      </c>
      <c r="N4" s="419">
        <f>SUMIFS(SX!AE$2:AE$19,SX!$B$2:$B$19,'chia CN SX'!$C4)</f>
        <v>0</v>
      </c>
      <c r="O4" s="419">
        <f>SUMIFS(SX!AF$2:AF$19,SX!$B$2:$B$19,'chia CN SX'!$C4)</f>
        <v>0</v>
      </c>
      <c r="P4" s="419">
        <f>SUMIFS(SX!AG$2:AG$19,SX!$B$2:$B$19,'chia CN SX'!$C4)</f>
        <v>0</v>
      </c>
      <c r="Q4" s="419">
        <f>SUMIFS(SX!AH$2:AH$19,SX!$B$2:$B$19,'chia CN SX'!$C4)</f>
        <v>0</v>
      </c>
      <c r="R4" s="419">
        <f>SUMIFS(SX!AI$2:AI$19,SX!$B$2:$B$19,'chia CN SX'!$C4)</f>
        <v>0</v>
      </c>
      <c r="S4" s="419">
        <f>SUMIFS(SX!AJ$2:AJ$19,SX!$B$2:$B$19,'chia CN SX'!$C4)</f>
        <v>0</v>
      </c>
      <c r="V4" s="67" t="e">
        <f>'chia CN boc xe'!U4</f>
        <v>#REF!</v>
      </c>
      <c r="W4" s="69">
        <f t="shared" si="1"/>
        <v>0</v>
      </c>
      <c r="X4" s="69">
        <f t="shared" si="2"/>
        <v>0</v>
      </c>
      <c r="Y4" s="69">
        <f t="shared" si="3"/>
        <v>0</v>
      </c>
      <c r="Z4" s="69">
        <f t="shared" si="4"/>
        <v>0</v>
      </c>
      <c r="AA4" s="69">
        <f t="shared" si="5"/>
        <v>0</v>
      </c>
      <c r="AB4" s="69">
        <f t="shared" si="6"/>
        <v>0</v>
      </c>
      <c r="AC4" s="69">
        <f t="shared" si="7"/>
        <v>0</v>
      </c>
      <c r="AD4" s="69">
        <f t="shared" si="8"/>
        <v>0</v>
      </c>
      <c r="AE4" s="69">
        <f t="shared" si="9"/>
        <v>0</v>
      </c>
      <c r="AF4" s="69">
        <f t="shared" si="10"/>
        <v>0</v>
      </c>
      <c r="AG4" s="69">
        <f t="shared" si="11"/>
        <v>0</v>
      </c>
      <c r="AH4" s="69">
        <f t="shared" si="12"/>
        <v>0</v>
      </c>
      <c r="AI4" s="69">
        <f t="shared" si="13"/>
        <v>0</v>
      </c>
      <c r="AJ4" s="69">
        <f t="shared" si="14"/>
        <v>0</v>
      </c>
      <c r="AK4" s="69">
        <f t="shared" si="15"/>
        <v>0</v>
      </c>
    </row>
    <row r="5" spans="1:37">
      <c r="A5" s="421">
        <f t="shared" ref="A5:A67" si="16">A4+1</f>
        <v>3</v>
      </c>
      <c r="B5" s="559" t="s">
        <v>615</v>
      </c>
      <c r="C5" s="421">
        <v>1</v>
      </c>
      <c r="D5" s="419">
        <f>SUMIFS(SX!U$2:U$19,SX!$B$2:$B$19,'chia CN SX'!$C5)</f>
        <v>0</v>
      </c>
      <c r="E5" s="419">
        <f>SUMIFS(SX!V$2:V$19,SX!$B$2:$B$19,'chia CN SX'!$C5)</f>
        <v>0</v>
      </c>
      <c r="F5" s="419">
        <f>SUMIFS(SX!W$2:W$19,SX!$B$2:$B$19,'chia CN SX'!$C5)</f>
        <v>0</v>
      </c>
      <c r="G5" s="419">
        <f>SUMIFS(SX!X$2:X$19,SX!$B$2:$B$19,'chia CN SX'!$C5)</f>
        <v>0</v>
      </c>
      <c r="H5" s="419">
        <f>SUMIFS(SX!Y$2:Y$19,SX!$B$2:$B$19,'chia CN SX'!$C5)</f>
        <v>0</v>
      </c>
      <c r="I5" s="419">
        <f>SUMIFS(SX!Z$2:Z$19,SX!$B$2:$B$19,'chia CN SX'!$C5)</f>
        <v>64</v>
      </c>
      <c r="J5" s="419">
        <f>SUMIFS(SX!AA$2:AA$19,SX!$B$2:$B$19,'chia CN SX'!$C5)</f>
        <v>0</v>
      </c>
      <c r="K5" s="419">
        <f>SUMIFS(SX!AB$2:AB$19,SX!$B$2:$B$19,'chia CN SX'!$C5)</f>
        <v>0</v>
      </c>
      <c r="L5" s="419">
        <f>SUMIFS(SX!AC$2:AC$19,SX!$B$2:$B$19,'chia CN SX'!$C5)</f>
        <v>0</v>
      </c>
      <c r="M5" s="419">
        <f>SUMIFS(SX!AD$2:AD$19,SX!$B$2:$B$19,'chia CN SX'!$C5)</f>
        <v>0</v>
      </c>
      <c r="N5" s="419">
        <f>SUMIFS(SX!AE$2:AE$19,SX!$B$2:$B$19,'chia CN SX'!$C5)</f>
        <v>0</v>
      </c>
      <c r="O5" s="419">
        <f>SUMIFS(SX!AF$2:AF$19,SX!$B$2:$B$19,'chia CN SX'!$C5)</f>
        <v>0</v>
      </c>
      <c r="P5" s="419">
        <f>SUMIFS(SX!AG$2:AG$19,SX!$B$2:$B$19,'chia CN SX'!$C5)</f>
        <v>0</v>
      </c>
      <c r="Q5" s="419">
        <f>SUMIFS(SX!AH$2:AH$19,SX!$B$2:$B$19,'chia CN SX'!$C5)</f>
        <v>0</v>
      </c>
      <c r="R5" s="419">
        <f>SUMIFS(SX!AI$2:AI$19,SX!$B$2:$B$19,'chia CN SX'!$C5)</f>
        <v>0</v>
      </c>
      <c r="S5" s="419">
        <f>SUMIFS(SX!AJ$2:AJ$19,SX!$B$2:$B$19,'chia CN SX'!$C5)</f>
        <v>0</v>
      </c>
      <c r="V5" s="67" t="e">
        <f>'chia CN boc xe'!U5</f>
        <v>#REF!</v>
      </c>
      <c r="W5" s="69">
        <f t="shared" si="1"/>
        <v>0</v>
      </c>
      <c r="X5" s="69">
        <f t="shared" si="2"/>
        <v>0</v>
      </c>
      <c r="Y5" s="69">
        <f t="shared" si="3"/>
        <v>0</v>
      </c>
      <c r="Z5" s="69">
        <f t="shared" si="4"/>
        <v>0</v>
      </c>
      <c r="AA5" s="69">
        <f t="shared" si="5"/>
        <v>0</v>
      </c>
      <c r="AB5" s="69">
        <f t="shared" si="6"/>
        <v>0</v>
      </c>
      <c r="AC5" s="69">
        <f t="shared" si="7"/>
        <v>0</v>
      </c>
      <c r="AD5" s="69">
        <f t="shared" si="8"/>
        <v>0</v>
      </c>
      <c r="AE5" s="69">
        <f t="shared" si="9"/>
        <v>0</v>
      </c>
      <c r="AF5" s="69">
        <f t="shared" si="10"/>
        <v>0</v>
      </c>
      <c r="AG5" s="69">
        <f t="shared" si="11"/>
        <v>0</v>
      </c>
      <c r="AH5" s="69">
        <f t="shared" si="12"/>
        <v>0</v>
      </c>
      <c r="AI5" s="69">
        <f t="shared" si="13"/>
        <v>0</v>
      </c>
      <c r="AJ5" s="69">
        <f t="shared" si="14"/>
        <v>0</v>
      </c>
      <c r="AK5" s="69">
        <f t="shared" si="15"/>
        <v>0</v>
      </c>
    </row>
    <row r="6" spans="1:37">
      <c r="A6" s="421">
        <f t="shared" si="16"/>
        <v>4</v>
      </c>
      <c r="B6" s="559" t="s">
        <v>720</v>
      </c>
      <c r="C6" s="421">
        <v>1</v>
      </c>
      <c r="D6" s="419">
        <f>SUMIFS(SX!U$2:U$19,SX!$B$2:$B$19,'chia CN SX'!$C6)</f>
        <v>0</v>
      </c>
      <c r="E6" s="419">
        <f>SUMIFS(SX!V$2:V$19,SX!$B$2:$B$19,'chia CN SX'!$C6)</f>
        <v>0</v>
      </c>
      <c r="F6" s="419">
        <f>SUMIFS(SX!W$2:W$19,SX!$B$2:$B$19,'chia CN SX'!$C6)</f>
        <v>0</v>
      </c>
      <c r="G6" s="419">
        <f>SUMIFS(SX!X$2:X$19,SX!$B$2:$B$19,'chia CN SX'!$C6)</f>
        <v>0</v>
      </c>
      <c r="H6" s="419">
        <f>SUMIFS(SX!Y$2:Y$19,SX!$B$2:$B$19,'chia CN SX'!$C6)</f>
        <v>0</v>
      </c>
      <c r="I6" s="419">
        <f>SUMIFS(SX!Z$2:Z$19,SX!$B$2:$B$19,'chia CN SX'!$C6)</f>
        <v>64</v>
      </c>
      <c r="J6" s="419">
        <f>SUMIFS(SX!AA$2:AA$19,SX!$B$2:$B$19,'chia CN SX'!$C6)</f>
        <v>0</v>
      </c>
      <c r="K6" s="419">
        <f>SUMIFS(SX!AB$2:AB$19,SX!$B$2:$B$19,'chia CN SX'!$C6)</f>
        <v>0</v>
      </c>
      <c r="L6" s="419">
        <f>SUMIFS(SX!AC$2:AC$19,SX!$B$2:$B$19,'chia CN SX'!$C6)</f>
        <v>0</v>
      </c>
      <c r="M6" s="419">
        <f>SUMIFS(SX!AD$2:AD$19,SX!$B$2:$B$19,'chia CN SX'!$C6)</f>
        <v>0</v>
      </c>
      <c r="N6" s="419">
        <f>SUMIFS(SX!AE$2:AE$19,SX!$B$2:$B$19,'chia CN SX'!$C6)</f>
        <v>0</v>
      </c>
      <c r="O6" s="419">
        <f>SUMIFS(SX!AF$2:AF$19,SX!$B$2:$B$19,'chia CN SX'!$C6)</f>
        <v>0</v>
      </c>
      <c r="P6" s="419">
        <f>SUMIFS(SX!AG$2:AG$19,SX!$B$2:$B$19,'chia CN SX'!$C6)</f>
        <v>0</v>
      </c>
      <c r="Q6" s="419">
        <f>SUMIFS(SX!AH$2:AH$19,SX!$B$2:$B$19,'chia CN SX'!$C6)</f>
        <v>0</v>
      </c>
      <c r="R6" s="419">
        <f>SUMIFS(SX!AI$2:AI$19,SX!$B$2:$B$19,'chia CN SX'!$C6)</f>
        <v>0</v>
      </c>
      <c r="S6" s="419">
        <f>SUMIFS(SX!AJ$2:AJ$19,SX!$B$2:$B$19,'chia CN SX'!$C6)</f>
        <v>0</v>
      </c>
      <c r="V6" s="67" t="str">
        <f>'chia CN boc xe'!U6</f>
        <v>Lê Tấn Phát</v>
      </c>
      <c r="W6" s="69">
        <f t="shared" si="1"/>
        <v>0</v>
      </c>
      <c r="X6" s="69">
        <f t="shared" si="2"/>
        <v>0</v>
      </c>
      <c r="Y6" s="69">
        <f t="shared" si="3"/>
        <v>0</v>
      </c>
      <c r="Z6" s="69">
        <f t="shared" si="4"/>
        <v>0</v>
      </c>
      <c r="AA6" s="69">
        <f t="shared" si="5"/>
        <v>0</v>
      </c>
      <c r="AB6" s="69">
        <f t="shared" si="6"/>
        <v>0</v>
      </c>
      <c r="AC6" s="69">
        <f t="shared" si="7"/>
        <v>0</v>
      </c>
      <c r="AD6" s="69">
        <f t="shared" si="8"/>
        <v>0</v>
      </c>
      <c r="AE6" s="69">
        <f t="shared" si="9"/>
        <v>0</v>
      </c>
      <c r="AF6" s="69">
        <f t="shared" si="10"/>
        <v>0</v>
      </c>
      <c r="AG6" s="69">
        <f t="shared" si="11"/>
        <v>0</v>
      </c>
      <c r="AH6" s="69">
        <f t="shared" si="12"/>
        <v>0</v>
      </c>
      <c r="AI6" s="69">
        <f t="shared" si="13"/>
        <v>0</v>
      </c>
      <c r="AJ6" s="69">
        <f t="shared" si="14"/>
        <v>0</v>
      </c>
      <c r="AK6" s="69">
        <f t="shared" si="15"/>
        <v>0</v>
      </c>
    </row>
    <row r="7" spans="1:37">
      <c r="A7" s="421">
        <f t="shared" si="16"/>
        <v>5</v>
      </c>
      <c r="B7" s="559" t="s">
        <v>748</v>
      </c>
      <c r="C7" s="421">
        <v>1</v>
      </c>
      <c r="D7" s="419">
        <f>SUMIFS(SX!U$2:U$19,SX!$B$2:$B$19,'chia CN SX'!$C7)</f>
        <v>0</v>
      </c>
      <c r="E7" s="419">
        <f>SUMIFS(SX!V$2:V$19,SX!$B$2:$B$19,'chia CN SX'!$C7)</f>
        <v>0</v>
      </c>
      <c r="F7" s="419">
        <f>SUMIFS(SX!W$2:W$19,SX!$B$2:$B$19,'chia CN SX'!$C7)</f>
        <v>0</v>
      </c>
      <c r="G7" s="419">
        <f>SUMIFS(SX!X$2:X$19,SX!$B$2:$B$19,'chia CN SX'!$C7)</f>
        <v>0</v>
      </c>
      <c r="H7" s="419">
        <f>SUMIFS(SX!Y$2:Y$19,SX!$B$2:$B$19,'chia CN SX'!$C7)</f>
        <v>0</v>
      </c>
      <c r="I7" s="419">
        <f>SUMIFS(SX!Z$2:Z$19,SX!$B$2:$B$19,'chia CN SX'!$C7)</f>
        <v>64</v>
      </c>
      <c r="J7" s="419">
        <f>SUMIFS(SX!AA$2:AA$19,SX!$B$2:$B$19,'chia CN SX'!$C7)</f>
        <v>0</v>
      </c>
      <c r="K7" s="419">
        <f>SUMIFS(SX!AB$2:AB$19,SX!$B$2:$B$19,'chia CN SX'!$C7)</f>
        <v>0</v>
      </c>
      <c r="L7" s="419">
        <f>SUMIFS(SX!AC$2:AC$19,SX!$B$2:$B$19,'chia CN SX'!$C7)</f>
        <v>0</v>
      </c>
      <c r="M7" s="419">
        <f>SUMIFS(SX!AD$2:AD$19,SX!$B$2:$B$19,'chia CN SX'!$C7)</f>
        <v>0</v>
      </c>
      <c r="N7" s="419">
        <f>SUMIFS(SX!AE$2:AE$19,SX!$B$2:$B$19,'chia CN SX'!$C7)</f>
        <v>0</v>
      </c>
      <c r="O7" s="419">
        <f>SUMIFS(SX!AF$2:AF$19,SX!$B$2:$B$19,'chia CN SX'!$C7)</f>
        <v>0</v>
      </c>
      <c r="P7" s="419">
        <f>SUMIFS(SX!AG$2:AG$19,SX!$B$2:$B$19,'chia CN SX'!$C7)</f>
        <v>0</v>
      </c>
      <c r="Q7" s="419">
        <f>SUMIFS(SX!AH$2:AH$19,SX!$B$2:$B$19,'chia CN SX'!$C7)</f>
        <v>0</v>
      </c>
      <c r="R7" s="419">
        <f>SUMIFS(SX!AI$2:AI$19,SX!$B$2:$B$19,'chia CN SX'!$C7)</f>
        <v>0</v>
      </c>
      <c r="S7" s="419">
        <f>SUMIFS(SX!AJ$2:AJ$19,SX!$B$2:$B$19,'chia CN SX'!$C7)</f>
        <v>0</v>
      </c>
      <c r="V7" s="67" t="str">
        <f>'chia CN boc xe'!U7</f>
        <v>Triệu Minh Tú</v>
      </c>
      <c r="W7" s="69">
        <f t="shared" si="1"/>
        <v>0</v>
      </c>
      <c r="X7" s="69">
        <f t="shared" si="2"/>
        <v>0</v>
      </c>
      <c r="Y7" s="69">
        <f t="shared" si="3"/>
        <v>0</v>
      </c>
      <c r="Z7" s="69">
        <f t="shared" si="4"/>
        <v>0</v>
      </c>
      <c r="AA7" s="69">
        <f t="shared" si="5"/>
        <v>0</v>
      </c>
      <c r="AB7" s="69">
        <f t="shared" si="6"/>
        <v>0</v>
      </c>
      <c r="AC7" s="69">
        <f t="shared" si="7"/>
        <v>0</v>
      </c>
      <c r="AD7" s="69">
        <f t="shared" si="8"/>
        <v>0</v>
      </c>
      <c r="AE7" s="69">
        <f t="shared" si="9"/>
        <v>0</v>
      </c>
      <c r="AF7" s="69">
        <f t="shared" si="10"/>
        <v>0</v>
      </c>
      <c r="AG7" s="69">
        <f t="shared" si="11"/>
        <v>0</v>
      </c>
      <c r="AH7" s="69">
        <f t="shared" si="12"/>
        <v>0</v>
      </c>
      <c r="AI7" s="69">
        <f t="shared" si="13"/>
        <v>0</v>
      </c>
      <c r="AJ7" s="69">
        <f t="shared" si="14"/>
        <v>0</v>
      </c>
      <c r="AK7" s="69">
        <f t="shared" si="15"/>
        <v>0</v>
      </c>
    </row>
    <row r="8" spans="1:37">
      <c r="A8" s="421">
        <f t="shared" si="16"/>
        <v>6</v>
      </c>
      <c r="B8" s="331" t="s">
        <v>749</v>
      </c>
      <c r="C8" s="421">
        <v>1</v>
      </c>
      <c r="D8" s="419">
        <f>SUMIFS(SX!U$2:U$19,SX!$B$2:$B$19,'chia CN SX'!$C8)</f>
        <v>0</v>
      </c>
      <c r="E8" s="419">
        <f>SUMIFS(SX!V$2:V$19,SX!$B$2:$B$19,'chia CN SX'!$C8)</f>
        <v>0</v>
      </c>
      <c r="F8" s="419">
        <f>SUMIFS(SX!W$2:W$19,SX!$B$2:$B$19,'chia CN SX'!$C8)</f>
        <v>0</v>
      </c>
      <c r="G8" s="419">
        <f>SUMIFS(SX!X$2:X$19,SX!$B$2:$B$19,'chia CN SX'!$C8)</f>
        <v>0</v>
      </c>
      <c r="H8" s="419">
        <f>SUMIFS(SX!Y$2:Y$19,SX!$B$2:$B$19,'chia CN SX'!$C8)</f>
        <v>0</v>
      </c>
      <c r="I8" s="419">
        <f>SUMIFS(SX!Z$2:Z$19,SX!$B$2:$B$19,'chia CN SX'!$C8)</f>
        <v>64</v>
      </c>
      <c r="J8" s="419">
        <f>SUMIFS(SX!AA$2:AA$19,SX!$B$2:$B$19,'chia CN SX'!$C8)</f>
        <v>0</v>
      </c>
      <c r="K8" s="419">
        <f>SUMIFS(SX!AB$2:AB$19,SX!$B$2:$B$19,'chia CN SX'!$C8)</f>
        <v>0</v>
      </c>
      <c r="L8" s="419">
        <f>SUMIFS(SX!AC$2:AC$19,SX!$B$2:$B$19,'chia CN SX'!$C8)</f>
        <v>0</v>
      </c>
      <c r="M8" s="419">
        <f>SUMIFS(SX!AD$2:AD$19,SX!$B$2:$B$19,'chia CN SX'!$C8)</f>
        <v>0</v>
      </c>
      <c r="N8" s="419">
        <f>SUMIFS(SX!AE$2:AE$19,SX!$B$2:$B$19,'chia CN SX'!$C8)</f>
        <v>0</v>
      </c>
      <c r="O8" s="419">
        <f>SUMIFS(SX!AF$2:AF$19,SX!$B$2:$B$19,'chia CN SX'!$C8)</f>
        <v>0</v>
      </c>
      <c r="P8" s="419">
        <f>SUMIFS(SX!AG$2:AG$19,SX!$B$2:$B$19,'chia CN SX'!$C8)</f>
        <v>0</v>
      </c>
      <c r="Q8" s="419">
        <f>SUMIFS(SX!AH$2:AH$19,SX!$B$2:$B$19,'chia CN SX'!$C8)</f>
        <v>0</v>
      </c>
      <c r="R8" s="419">
        <f>SUMIFS(SX!AI$2:AI$19,SX!$B$2:$B$19,'chia CN SX'!$C8)</f>
        <v>0</v>
      </c>
      <c r="S8" s="419">
        <f>SUMIFS(SX!AJ$2:AJ$19,SX!$B$2:$B$19,'chia CN SX'!$C8)</f>
        <v>0</v>
      </c>
      <c r="V8" s="67" t="e">
        <f>'chia CN boc xe'!U8</f>
        <v>#REF!</v>
      </c>
      <c r="W8" s="69">
        <f t="shared" si="1"/>
        <v>0</v>
      </c>
      <c r="X8" s="69">
        <f t="shared" si="2"/>
        <v>0</v>
      </c>
      <c r="Y8" s="69">
        <f t="shared" si="3"/>
        <v>0</v>
      </c>
      <c r="Z8" s="69">
        <f t="shared" si="4"/>
        <v>0</v>
      </c>
      <c r="AA8" s="69">
        <f t="shared" si="5"/>
        <v>0</v>
      </c>
      <c r="AB8" s="69">
        <f t="shared" si="6"/>
        <v>0</v>
      </c>
      <c r="AC8" s="69">
        <f t="shared" si="7"/>
        <v>0</v>
      </c>
      <c r="AD8" s="69">
        <f t="shared" si="8"/>
        <v>0</v>
      </c>
      <c r="AE8" s="69">
        <f t="shared" si="9"/>
        <v>0</v>
      </c>
      <c r="AF8" s="69">
        <f t="shared" si="10"/>
        <v>0</v>
      </c>
      <c r="AG8" s="69">
        <f t="shared" si="11"/>
        <v>0</v>
      </c>
      <c r="AH8" s="69">
        <f t="shared" si="12"/>
        <v>0</v>
      </c>
      <c r="AI8" s="69">
        <f t="shared" si="13"/>
        <v>0</v>
      </c>
      <c r="AJ8" s="69">
        <f t="shared" si="14"/>
        <v>0</v>
      </c>
      <c r="AK8" s="69">
        <f t="shared" si="15"/>
        <v>0</v>
      </c>
    </row>
    <row r="9" spans="1:37">
      <c r="A9" s="421">
        <f t="shared" si="16"/>
        <v>7</v>
      </c>
      <c r="B9" s="331" t="s">
        <v>614</v>
      </c>
      <c r="C9" s="421">
        <v>2</v>
      </c>
      <c r="D9" s="419">
        <f>SUMIFS(SX!U$2:U$19,SX!$B$2:$B$19,'chia CN SX'!$C9)</f>
        <v>0</v>
      </c>
      <c r="E9" s="419">
        <f>SUMIFS(SX!V$2:V$19,SX!$B$2:$B$19,'chia CN SX'!$C9)</f>
        <v>0</v>
      </c>
      <c r="F9" s="419">
        <f>SUMIFS(SX!W$2:W$19,SX!$B$2:$B$19,'chia CN SX'!$C9)</f>
        <v>0</v>
      </c>
      <c r="G9" s="419">
        <f>SUMIFS(SX!X$2:X$19,SX!$B$2:$B$19,'chia CN SX'!$C9)</f>
        <v>0</v>
      </c>
      <c r="H9" s="419">
        <f>SUMIFS(SX!Y$2:Y$19,SX!$B$2:$B$19,'chia CN SX'!$C9)</f>
        <v>0</v>
      </c>
      <c r="I9" s="419">
        <f>SUMIFS(SX!Z$2:Z$19,SX!$B$2:$B$19,'chia CN SX'!$C9)</f>
        <v>240</v>
      </c>
      <c r="J9" s="419">
        <f>SUMIFS(SX!AA$2:AA$19,SX!$B$2:$B$19,'chia CN SX'!$C9)</f>
        <v>0</v>
      </c>
      <c r="K9" s="419">
        <f>SUMIFS(SX!AB$2:AB$19,SX!$B$2:$B$19,'chia CN SX'!$C9)</f>
        <v>0</v>
      </c>
      <c r="L9" s="419">
        <f>SUMIFS(SX!AC$2:AC$19,SX!$B$2:$B$19,'chia CN SX'!$C9)</f>
        <v>0</v>
      </c>
      <c r="M9" s="419">
        <f>SUMIFS(SX!AD$2:AD$19,SX!$B$2:$B$19,'chia CN SX'!$C9)</f>
        <v>0</v>
      </c>
      <c r="N9" s="419">
        <f>SUMIFS(SX!AE$2:AE$19,SX!$B$2:$B$19,'chia CN SX'!$C9)</f>
        <v>0</v>
      </c>
      <c r="O9" s="419">
        <f>SUMIFS(SX!AF$2:AF$19,SX!$B$2:$B$19,'chia CN SX'!$C9)</f>
        <v>0</v>
      </c>
      <c r="P9" s="419">
        <f>SUMIFS(SX!AG$2:AG$19,SX!$B$2:$B$19,'chia CN SX'!$C9)</f>
        <v>0</v>
      </c>
      <c r="Q9" s="419">
        <f>SUMIFS(SX!AH$2:AH$19,SX!$B$2:$B$19,'chia CN SX'!$C9)</f>
        <v>0</v>
      </c>
      <c r="R9" s="419">
        <f>SUMIFS(SX!AI$2:AI$19,SX!$B$2:$B$19,'chia CN SX'!$C9)</f>
        <v>0</v>
      </c>
      <c r="S9" s="419">
        <f>SUMIFS(SX!AJ$2:AJ$19,SX!$B$2:$B$19,'chia CN SX'!$C9)</f>
        <v>0</v>
      </c>
      <c r="V9" s="67" t="str">
        <f>'chia CN boc xe'!U9</f>
        <v>Thạch Giàu</v>
      </c>
      <c r="W9" s="69">
        <f t="shared" si="1"/>
        <v>0</v>
      </c>
      <c r="X9" s="69">
        <f t="shared" si="2"/>
        <v>0</v>
      </c>
      <c r="Y9" s="69">
        <f t="shared" si="3"/>
        <v>0</v>
      </c>
      <c r="Z9" s="69">
        <f t="shared" si="4"/>
        <v>0</v>
      </c>
      <c r="AA9" s="69">
        <f t="shared" si="5"/>
        <v>0</v>
      </c>
      <c r="AB9" s="69">
        <f t="shared" si="6"/>
        <v>0</v>
      </c>
      <c r="AC9" s="69">
        <f t="shared" si="7"/>
        <v>0</v>
      </c>
      <c r="AD9" s="69">
        <f t="shared" si="8"/>
        <v>0</v>
      </c>
      <c r="AE9" s="69">
        <f t="shared" si="9"/>
        <v>0</v>
      </c>
      <c r="AF9" s="69">
        <f t="shared" si="10"/>
        <v>0</v>
      </c>
      <c r="AG9" s="69">
        <f t="shared" si="11"/>
        <v>0</v>
      </c>
      <c r="AH9" s="69">
        <f t="shared" si="12"/>
        <v>0</v>
      </c>
      <c r="AI9" s="69">
        <f t="shared" si="13"/>
        <v>0</v>
      </c>
      <c r="AJ9" s="69">
        <f t="shared" si="14"/>
        <v>0</v>
      </c>
      <c r="AK9" s="69">
        <f t="shared" si="15"/>
        <v>0</v>
      </c>
    </row>
    <row r="10" spans="1:37">
      <c r="A10" s="421">
        <f t="shared" si="16"/>
        <v>8</v>
      </c>
      <c r="B10" s="331" t="s">
        <v>701</v>
      </c>
      <c r="C10" s="421">
        <v>2</v>
      </c>
      <c r="D10" s="419">
        <f>SUMIFS(SX!U$2:U$19,SX!$B$2:$B$19,'chia CN SX'!$C10)</f>
        <v>0</v>
      </c>
      <c r="E10" s="419">
        <f>SUMIFS(SX!V$2:V$19,SX!$B$2:$B$19,'chia CN SX'!$C10)</f>
        <v>0</v>
      </c>
      <c r="F10" s="419">
        <f>SUMIFS(SX!W$2:W$19,SX!$B$2:$B$19,'chia CN SX'!$C10)</f>
        <v>0</v>
      </c>
      <c r="G10" s="419">
        <f>SUMIFS(SX!X$2:X$19,SX!$B$2:$B$19,'chia CN SX'!$C10)</f>
        <v>0</v>
      </c>
      <c r="H10" s="419">
        <f>SUMIFS(SX!Y$2:Y$19,SX!$B$2:$B$19,'chia CN SX'!$C10)</f>
        <v>0</v>
      </c>
      <c r="I10" s="419">
        <f>SUMIFS(SX!Z$2:Z$19,SX!$B$2:$B$19,'chia CN SX'!$C10)</f>
        <v>240</v>
      </c>
      <c r="J10" s="419">
        <f>SUMIFS(SX!AA$2:AA$19,SX!$B$2:$B$19,'chia CN SX'!$C10)</f>
        <v>0</v>
      </c>
      <c r="K10" s="419">
        <f>SUMIFS(SX!AB$2:AB$19,SX!$B$2:$B$19,'chia CN SX'!$C10)</f>
        <v>0</v>
      </c>
      <c r="L10" s="419">
        <f>SUMIFS(SX!AC$2:AC$19,SX!$B$2:$B$19,'chia CN SX'!$C10)</f>
        <v>0</v>
      </c>
      <c r="M10" s="419">
        <f>SUMIFS(SX!AD$2:AD$19,SX!$B$2:$B$19,'chia CN SX'!$C10)</f>
        <v>0</v>
      </c>
      <c r="N10" s="419">
        <f>SUMIFS(SX!AE$2:AE$19,SX!$B$2:$B$19,'chia CN SX'!$C10)</f>
        <v>0</v>
      </c>
      <c r="O10" s="419">
        <f>SUMIFS(SX!AF$2:AF$19,SX!$B$2:$B$19,'chia CN SX'!$C10)</f>
        <v>0</v>
      </c>
      <c r="P10" s="419">
        <f>SUMIFS(SX!AG$2:AG$19,SX!$B$2:$B$19,'chia CN SX'!$C10)</f>
        <v>0</v>
      </c>
      <c r="Q10" s="419">
        <f>SUMIFS(SX!AH$2:AH$19,SX!$B$2:$B$19,'chia CN SX'!$C10)</f>
        <v>0</v>
      </c>
      <c r="R10" s="419">
        <f>SUMIFS(SX!AI$2:AI$19,SX!$B$2:$B$19,'chia CN SX'!$C10)</f>
        <v>0</v>
      </c>
      <c r="S10" s="419">
        <f>SUMIFS(SX!AJ$2:AJ$19,SX!$B$2:$B$19,'chia CN SX'!$C10)</f>
        <v>0</v>
      </c>
      <c r="V10" s="67" t="e">
        <f>'chia CN boc xe'!U10</f>
        <v>#REF!</v>
      </c>
      <c r="W10" s="69">
        <f t="shared" si="1"/>
        <v>0</v>
      </c>
      <c r="X10" s="69">
        <f t="shared" si="2"/>
        <v>0</v>
      </c>
      <c r="Y10" s="69">
        <f t="shared" si="3"/>
        <v>0</v>
      </c>
      <c r="Z10" s="69">
        <f t="shared" si="4"/>
        <v>0</v>
      </c>
      <c r="AA10" s="69">
        <f t="shared" si="5"/>
        <v>0</v>
      </c>
      <c r="AB10" s="69">
        <f t="shared" si="6"/>
        <v>0</v>
      </c>
      <c r="AC10" s="69">
        <f t="shared" si="7"/>
        <v>0</v>
      </c>
      <c r="AD10" s="69">
        <f t="shared" si="8"/>
        <v>0</v>
      </c>
      <c r="AE10" s="69">
        <f t="shared" si="9"/>
        <v>0</v>
      </c>
      <c r="AF10" s="69">
        <f t="shared" si="10"/>
        <v>0</v>
      </c>
      <c r="AG10" s="69">
        <f t="shared" si="11"/>
        <v>0</v>
      </c>
      <c r="AH10" s="69">
        <f t="shared" si="12"/>
        <v>0</v>
      </c>
      <c r="AI10" s="69">
        <f t="shared" si="13"/>
        <v>0</v>
      </c>
      <c r="AJ10" s="69">
        <f t="shared" si="14"/>
        <v>0</v>
      </c>
      <c r="AK10" s="69">
        <f t="shared" si="15"/>
        <v>0</v>
      </c>
    </row>
    <row r="11" spans="1:37">
      <c r="A11" s="421">
        <f t="shared" si="16"/>
        <v>9</v>
      </c>
      <c r="B11" s="559" t="s">
        <v>716</v>
      </c>
      <c r="C11" s="421">
        <v>2</v>
      </c>
      <c r="D11" s="419">
        <f>SUMIFS(SX!U$2:U$19,SX!$B$2:$B$19,'chia CN SX'!$C11)</f>
        <v>0</v>
      </c>
      <c r="E11" s="419">
        <f>SUMIFS(SX!V$2:V$19,SX!$B$2:$B$19,'chia CN SX'!$C11)</f>
        <v>0</v>
      </c>
      <c r="F11" s="419">
        <f>SUMIFS(SX!W$2:W$19,SX!$B$2:$B$19,'chia CN SX'!$C11)</f>
        <v>0</v>
      </c>
      <c r="G11" s="419">
        <f>SUMIFS(SX!X$2:X$19,SX!$B$2:$B$19,'chia CN SX'!$C11)</f>
        <v>0</v>
      </c>
      <c r="H11" s="419">
        <f>SUMIFS(SX!Y$2:Y$19,SX!$B$2:$B$19,'chia CN SX'!$C11)</f>
        <v>0</v>
      </c>
      <c r="I11" s="419">
        <f>SUMIFS(SX!Z$2:Z$19,SX!$B$2:$B$19,'chia CN SX'!$C11)</f>
        <v>240</v>
      </c>
      <c r="J11" s="419">
        <f>SUMIFS(SX!AA$2:AA$19,SX!$B$2:$B$19,'chia CN SX'!$C11)</f>
        <v>0</v>
      </c>
      <c r="K11" s="419">
        <f>SUMIFS(SX!AB$2:AB$19,SX!$B$2:$B$19,'chia CN SX'!$C11)</f>
        <v>0</v>
      </c>
      <c r="L11" s="419">
        <f>SUMIFS(SX!AC$2:AC$19,SX!$B$2:$B$19,'chia CN SX'!$C11)</f>
        <v>0</v>
      </c>
      <c r="M11" s="419">
        <f>SUMIFS(SX!AD$2:AD$19,SX!$B$2:$B$19,'chia CN SX'!$C11)</f>
        <v>0</v>
      </c>
      <c r="N11" s="419">
        <f>SUMIFS(SX!AE$2:AE$19,SX!$B$2:$B$19,'chia CN SX'!$C11)</f>
        <v>0</v>
      </c>
      <c r="O11" s="419">
        <f>SUMIFS(SX!AF$2:AF$19,SX!$B$2:$B$19,'chia CN SX'!$C11)</f>
        <v>0</v>
      </c>
      <c r="P11" s="419">
        <f>SUMIFS(SX!AG$2:AG$19,SX!$B$2:$B$19,'chia CN SX'!$C11)</f>
        <v>0</v>
      </c>
      <c r="Q11" s="419">
        <f>SUMIFS(SX!AH$2:AH$19,SX!$B$2:$B$19,'chia CN SX'!$C11)</f>
        <v>0</v>
      </c>
      <c r="R11" s="419">
        <f>SUMIFS(SX!AI$2:AI$19,SX!$B$2:$B$19,'chia CN SX'!$C11)</f>
        <v>0</v>
      </c>
      <c r="S11" s="419">
        <f>SUMIFS(SX!AJ$2:AJ$19,SX!$B$2:$B$19,'chia CN SX'!$C11)</f>
        <v>0</v>
      </c>
      <c r="V11" s="67" t="str">
        <f>'chia CN boc xe'!U11</f>
        <v>Trần Thanh Hậu</v>
      </c>
      <c r="W11" s="69">
        <f t="shared" si="1"/>
        <v>0</v>
      </c>
      <c r="X11" s="69">
        <f t="shared" si="2"/>
        <v>0</v>
      </c>
      <c r="Y11" s="69">
        <f t="shared" si="3"/>
        <v>0</v>
      </c>
      <c r="Z11" s="69">
        <f t="shared" si="4"/>
        <v>0</v>
      </c>
      <c r="AA11" s="69">
        <f t="shared" si="5"/>
        <v>0</v>
      </c>
      <c r="AB11" s="69">
        <f t="shared" si="6"/>
        <v>0</v>
      </c>
      <c r="AC11" s="69">
        <f t="shared" si="7"/>
        <v>0</v>
      </c>
      <c r="AD11" s="69">
        <f t="shared" si="8"/>
        <v>0</v>
      </c>
      <c r="AE11" s="69">
        <f t="shared" si="9"/>
        <v>0</v>
      </c>
      <c r="AF11" s="69">
        <f t="shared" si="10"/>
        <v>0</v>
      </c>
      <c r="AG11" s="69">
        <f t="shared" si="11"/>
        <v>0</v>
      </c>
      <c r="AH11" s="69">
        <f t="shared" si="12"/>
        <v>0</v>
      </c>
      <c r="AI11" s="69">
        <f t="shared" si="13"/>
        <v>0</v>
      </c>
      <c r="AJ11" s="69">
        <f t="shared" si="14"/>
        <v>0</v>
      </c>
      <c r="AK11" s="69">
        <f t="shared" si="15"/>
        <v>0</v>
      </c>
    </row>
    <row r="12" spans="1:37">
      <c r="A12" s="421">
        <f t="shared" si="16"/>
        <v>10</v>
      </c>
      <c r="B12" s="559" t="s">
        <v>717</v>
      </c>
      <c r="C12" s="421">
        <v>2</v>
      </c>
      <c r="D12" s="419">
        <f>SUMIFS(SX!U$2:U$19,SX!$B$2:$B$19,'chia CN SX'!$C12)</f>
        <v>0</v>
      </c>
      <c r="E12" s="419">
        <f>SUMIFS(SX!V$2:V$19,SX!$B$2:$B$19,'chia CN SX'!$C12)</f>
        <v>0</v>
      </c>
      <c r="F12" s="419">
        <f>SUMIFS(SX!W$2:W$19,SX!$B$2:$B$19,'chia CN SX'!$C12)</f>
        <v>0</v>
      </c>
      <c r="G12" s="419">
        <f>SUMIFS(SX!X$2:X$19,SX!$B$2:$B$19,'chia CN SX'!$C12)</f>
        <v>0</v>
      </c>
      <c r="H12" s="419">
        <f>SUMIFS(SX!Y$2:Y$19,SX!$B$2:$B$19,'chia CN SX'!$C12)</f>
        <v>0</v>
      </c>
      <c r="I12" s="419">
        <f>SUMIFS(SX!Z$2:Z$19,SX!$B$2:$B$19,'chia CN SX'!$C12)</f>
        <v>240</v>
      </c>
      <c r="J12" s="419">
        <f>SUMIFS(SX!AA$2:AA$19,SX!$B$2:$B$19,'chia CN SX'!$C12)</f>
        <v>0</v>
      </c>
      <c r="K12" s="419">
        <f>SUMIFS(SX!AB$2:AB$19,SX!$B$2:$B$19,'chia CN SX'!$C12)</f>
        <v>0</v>
      </c>
      <c r="L12" s="419">
        <f>SUMIFS(SX!AC$2:AC$19,SX!$B$2:$B$19,'chia CN SX'!$C12)</f>
        <v>0</v>
      </c>
      <c r="M12" s="419">
        <f>SUMIFS(SX!AD$2:AD$19,SX!$B$2:$B$19,'chia CN SX'!$C12)</f>
        <v>0</v>
      </c>
      <c r="N12" s="419">
        <f>SUMIFS(SX!AE$2:AE$19,SX!$B$2:$B$19,'chia CN SX'!$C12)</f>
        <v>0</v>
      </c>
      <c r="O12" s="419">
        <f>SUMIFS(SX!AF$2:AF$19,SX!$B$2:$B$19,'chia CN SX'!$C12)</f>
        <v>0</v>
      </c>
      <c r="P12" s="419">
        <f>SUMIFS(SX!AG$2:AG$19,SX!$B$2:$B$19,'chia CN SX'!$C12)</f>
        <v>0</v>
      </c>
      <c r="Q12" s="419">
        <f>SUMIFS(SX!AH$2:AH$19,SX!$B$2:$B$19,'chia CN SX'!$C12)</f>
        <v>0</v>
      </c>
      <c r="R12" s="419">
        <f>SUMIFS(SX!AI$2:AI$19,SX!$B$2:$B$19,'chia CN SX'!$C12)</f>
        <v>0</v>
      </c>
      <c r="S12" s="419">
        <f>SUMIFS(SX!AJ$2:AJ$19,SX!$B$2:$B$19,'chia CN SX'!$C12)</f>
        <v>0</v>
      </c>
      <c r="V12" s="67" t="e">
        <f>'chia CN boc xe'!U12</f>
        <v>#REF!</v>
      </c>
      <c r="W12" s="69">
        <f t="shared" si="1"/>
        <v>0</v>
      </c>
      <c r="X12" s="69">
        <f t="shared" si="2"/>
        <v>0</v>
      </c>
      <c r="Y12" s="69">
        <f t="shared" si="3"/>
        <v>0</v>
      </c>
      <c r="Z12" s="69">
        <f t="shared" si="4"/>
        <v>0</v>
      </c>
      <c r="AA12" s="69">
        <f t="shared" si="5"/>
        <v>0</v>
      </c>
      <c r="AB12" s="69">
        <f t="shared" si="6"/>
        <v>0</v>
      </c>
      <c r="AC12" s="69">
        <f t="shared" si="7"/>
        <v>0</v>
      </c>
      <c r="AD12" s="69">
        <f t="shared" si="8"/>
        <v>0</v>
      </c>
      <c r="AE12" s="69">
        <f t="shared" si="9"/>
        <v>0</v>
      </c>
      <c r="AF12" s="69">
        <f t="shared" si="10"/>
        <v>0</v>
      </c>
      <c r="AG12" s="69">
        <f t="shared" si="11"/>
        <v>0</v>
      </c>
      <c r="AH12" s="69">
        <f t="shared" si="12"/>
        <v>0</v>
      </c>
      <c r="AI12" s="69">
        <f t="shared" si="13"/>
        <v>0</v>
      </c>
      <c r="AJ12" s="69">
        <f t="shared" si="14"/>
        <v>0</v>
      </c>
      <c r="AK12" s="69">
        <f t="shared" si="15"/>
        <v>0</v>
      </c>
    </row>
    <row r="13" spans="1:37">
      <c r="A13" s="421">
        <f t="shared" si="16"/>
        <v>11</v>
      </c>
      <c r="B13" s="559" t="s">
        <v>718</v>
      </c>
      <c r="C13" s="421">
        <v>2</v>
      </c>
      <c r="D13" s="419">
        <f>SUMIFS(SX!U$2:U$19,SX!$B$2:$B$19,'chia CN SX'!$C13)</f>
        <v>0</v>
      </c>
      <c r="E13" s="419">
        <f>SUMIFS(SX!V$2:V$19,SX!$B$2:$B$19,'chia CN SX'!$C13)</f>
        <v>0</v>
      </c>
      <c r="F13" s="419">
        <f>SUMIFS(SX!W$2:W$19,SX!$B$2:$B$19,'chia CN SX'!$C13)</f>
        <v>0</v>
      </c>
      <c r="G13" s="419">
        <f>SUMIFS(SX!X$2:X$19,SX!$B$2:$B$19,'chia CN SX'!$C13)</f>
        <v>0</v>
      </c>
      <c r="H13" s="419">
        <f>SUMIFS(SX!Y$2:Y$19,SX!$B$2:$B$19,'chia CN SX'!$C13)</f>
        <v>0</v>
      </c>
      <c r="I13" s="419">
        <f>SUMIFS(SX!Z$2:Z$19,SX!$B$2:$B$19,'chia CN SX'!$C13)</f>
        <v>240</v>
      </c>
      <c r="J13" s="419">
        <f>SUMIFS(SX!AA$2:AA$19,SX!$B$2:$B$19,'chia CN SX'!$C13)</f>
        <v>0</v>
      </c>
      <c r="K13" s="419">
        <f>SUMIFS(SX!AB$2:AB$19,SX!$B$2:$B$19,'chia CN SX'!$C13)</f>
        <v>0</v>
      </c>
      <c r="L13" s="419">
        <f>SUMIFS(SX!AC$2:AC$19,SX!$B$2:$B$19,'chia CN SX'!$C13)</f>
        <v>0</v>
      </c>
      <c r="M13" s="419">
        <f>SUMIFS(SX!AD$2:AD$19,SX!$B$2:$B$19,'chia CN SX'!$C13)</f>
        <v>0</v>
      </c>
      <c r="N13" s="419">
        <f>SUMIFS(SX!AE$2:AE$19,SX!$B$2:$B$19,'chia CN SX'!$C13)</f>
        <v>0</v>
      </c>
      <c r="O13" s="419">
        <f>SUMIFS(SX!AF$2:AF$19,SX!$B$2:$B$19,'chia CN SX'!$C13)</f>
        <v>0</v>
      </c>
      <c r="P13" s="419">
        <f>SUMIFS(SX!AG$2:AG$19,SX!$B$2:$B$19,'chia CN SX'!$C13)</f>
        <v>0</v>
      </c>
      <c r="Q13" s="419">
        <f>SUMIFS(SX!AH$2:AH$19,SX!$B$2:$B$19,'chia CN SX'!$C13)</f>
        <v>0</v>
      </c>
      <c r="R13" s="419">
        <f>SUMIFS(SX!AI$2:AI$19,SX!$B$2:$B$19,'chia CN SX'!$C13)</f>
        <v>0</v>
      </c>
      <c r="S13" s="419">
        <f>SUMIFS(SX!AJ$2:AJ$19,SX!$B$2:$B$19,'chia CN SX'!$C13)</f>
        <v>0</v>
      </c>
      <c r="V13" s="67" t="str">
        <f>'chia CN boc xe'!U13</f>
        <v>Châu Thành Nhân</v>
      </c>
      <c r="W13" s="69">
        <f t="shared" si="1"/>
        <v>0</v>
      </c>
      <c r="X13" s="69">
        <f t="shared" si="2"/>
        <v>0</v>
      </c>
      <c r="Y13" s="69">
        <f t="shared" si="3"/>
        <v>0</v>
      </c>
      <c r="Z13" s="69">
        <f t="shared" si="4"/>
        <v>0</v>
      </c>
      <c r="AA13" s="69">
        <f t="shared" si="5"/>
        <v>0</v>
      </c>
      <c r="AB13" s="69">
        <f t="shared" si="6"/>
        <v>0</v>
      </c>
      <c r="AC13" s="69">
        <f t="shared" si="7"/>
        <v>0</v>
      </c>
      <c r="AD13" s="69">
        <f t="shared" si="8"/>
        <v>0</v>
      </c>
      <c r="AE13" s="69">
        <f t="shared" si="9"/>
        <v>0</v>
      </c>
      <c r="AF13" s="69">
        <f t="shared" si="10"/>
        <v>0</v>
      </c>
      <c r="AG13" s="69">
        <f t="shared" si="11"/>
        <v>0</v>
      </c>
      <c r="AH13" s="69">
        <f t="shared" si="12"/>
        <v>0</v>
      </c>
      <c r="AI13" s="69">
        <f t="shared" si="13"/>
        <v>0</v>
      </c>
      <c r="AJ13" s="69">
        <f t="shared" si="14"/>
        <v>0</v>
      </c>
      <c r="AK13" s="69">
        <f t="shared" si="15"/>
        <v>0</v>
      </c>
    </row>
    <row r="14" spans="1:37">
      <c r="A14" s="421">
        <f t="shared" si="16"/>
        <v>12</v>
      </c>
      <c r="B14" s="559" t="s">
        <v>754</v>
      </c>
      <c r="C14" s="421">
        <v>2</v>
      </c>
      <c r="D14" s="419">
        <f>SUMIFS(SX!U$2:U$19,SX!$B$2:$B$19,'chia CN SX'!$C14)</f>
        <v>0</v>
      </c>
      <c r="E14" s="419">
        <f>SUMIFS(SX!V$2:V$19,SX!$B$2:$B$19,'chia CN SX'!$C14)</f>
        <v>0</v>
      </c>
      <c r="F14" s="419">
        <f>SUMIFS(SX!W$2:W$19,SX!$B$2:$B$19,'chia CN SX'!$C14)</f>
        <v>0</v>
      </c>
      <c r="G14" s="419">
        <f>SUMIFS(SX!X$2:X$19,SX!$B$2:$B$19,'chia CN SX'!$C14)</f>
        <v>0</v>
      </c>
      <c r="H14" s="419">
        <f>SUMIFS(SX!Y$2:Y$19,SX!$B$2:$B$19,'chia CN SX'!$C14)</f>
        <v>0</v>
      </c>
      <c r="I14" s="419">
        <f>SUMIFS(SX!Z$2:Z$19,SX!$B$2:$B$19,'chia CN SX'!$C14)</f>
        <v>240</v>
      </c>
      <c r="J14" s="419">
        <f>SUMIFS(SX!AA$2:AA$19,SX!$B$2:$B$19,'chia CN SX'!$C14)</f>
        <v>0</v>
      </c>
      <c r="K14" s="419">
        <f>SUMIFS(SX!AB$2:AB$19,SX!$B$2:$B$19,'chia CN SX'!$C14)</f>
        <v>0</v>
      </c>
      <c r="L14" s="419">
        <f>SUMIFS(SX!AC$2:AC$19,SX!$B$2:$B$19,'chia CN SX'!$C14)</f>
        <v>0</v>
      </c>
      <c r="M14" s="419">
        <f>SUMIFS(SX!AD$2:AD$19,SX!$B$2:$B$19,'chia CN SX'!$C14)</f>
        <v>0</v>
      </c>
      <c r="N14" s="419">
        <f>SUMIFS(SX!AE$2:AE$19,SX!$B$2:$B$19,'chia CN SX'!$C14)</f>
        <v>0</v>
      </c>
      <c r="O14" s="419">
        <f>SUMIFS(SX!AF$2:AF$19,SX!$B$2:$B$19,'chia CN SX'!$C14)</f>
        <v>0</v>
      </c>
      <c r="P14" s="419">
        <f>SUMIFS(SX!AG$2:AG$19,SX!$B$2:$B$19,'chia CN SX'!$C14)</f>
        <v>0</v>
      </c>
      <c r="Q14" s="419">
        <f>SUMIFS(SX!AH$2:AH$19,SX!$B$2:$B$19,'chia CN SX'!$C14)</f>
        <v>0</v>
      </c>
      <c r="R14" s="419">
        <f>SUMIFS(SX!AI$2:AI$19,SX!$B$2:$B$19,'chia CN SX'!$C14)</f>
        <v>0</v>
      </c>
      <c r="S14" s="419">
        <f>SUMIFS(SX!AJ$2:AJ$19,SX!$B$2:$B$19,'chia CN SX'!$C14)</f>
        <v>0</v>
      </c>
      <c r="V14" s="67" t="str">
        <f>'chia CN boc xe'!U14</f>
        <v>Nguyễn Văn Chạy</v>
      </c>
      <c r="W14" s="69">
        <f t="shared" si="1"/>
        <v>0</v>
      </c>
      <c r="X14" s="69">
        <f t="shared" si="2"/>
        <v>0</v>
      </c>
      <c r="Y14" s="69">
        <f t="shared" si="3"/>
        <v>0</v>
      </c>
      <c r="Z14" s="69">
        <f t="shared" si="4"/>
        <v>0</v>
      </c>
      <c r="AA14" s="69">
        <f t="shared" si="5"/>
        <v>0</v>
      </c>
      <c r="AB14" s="69">
        <f t="shared" si="6"/>
        <v>0</v>
      </c>
      <c r="AC14" s="69">
        <f t="shared" si="7"/>
        <v>0</v>
      </c>
      <c r="AD14" s="69">
        <f t="shared" si="8"/>
        <v>0</v>
      </c>
      <c r="AE14" s="69">
        <f t="shared" si="9"/>
        <v>0</v>
      </c>
      <c r="AF14" s="69">
        <f t="shared" si="10"/>
        <v>0</v>
      </c>
      <c r="AG14" s="69">
        <f t="shared" si="11"/>
        <v>0</v>
      </c>
      <c r="AH14" s="69">
        <f t="shared" si="12"/>
        <v>0</v>
      </c>
      <c r="AI14" s="69">
        <f t="shared" si="13"/>
        <v>0</v>
      </c>
      <c r="AJ14" s="69">
        <f t="shared" si="14"/>
        <v>0</v>
      </c>
      <c r="AK14" s="69">
        <f t="shared" si="15"/>
        <v>0</v>
      </c>
    </row>
    <row r="15" spans="1:37">
      <c r="A15" s="421">
        <f t="shared" si="16"/>
        <v>13</v>
      </c>
      <c r="B15" s="559" t="s">
        <v>84</v>
      </c>
      <c r="C15" s="421">
        <v>3</v>
      </c>
      <c r="D15" s="419">
        <f>SUMIFS(SX!U$2:U$19,SX!$B$2:$B$19,'chia CN SX'!$C15)</f>
        <v>0</v>
      </c>
      <c r="E15" s="419">
        <f>SUMIFS(SX!V$2:V$19,SX!$B$2:$B$19,'chia CN SX'!$C15)</f>
        <v>0</v>
      </c>
      <c r="F15" s="419">
        <f>SUMIFS(SX!W$2:W$19,SX!$B$2:$B$19,'chia CN SX'!$C15)</f>
        <v>0</v>
      </c>
      <c r="G15" s="419">
        <f>SUMIFS(SX!X$2:X$19,SX!$B$2:$B$19,'chia CN SX'!$C15)</f>
        <v>0</v>
      </c>
      <c r="H15" s="419">
        <f>SUMIFS(SX!Y$2:Y$19,SX!$B$2:$B$19,'chia CN SX'!$C15)</f>
        <v>0</v>
      </c>
      <c r="I15" s="419">
        <f>SUMIFS(SX!Z$2:Z$19,SX!$B$2:$B$19,'chia CN SX'!$C15)</f>
        <v>240</v>
      </c>
      <c r="J15" s="419">
        <f>SUMIFS(SX!AA$2:AA$19,SX!$B$2:$B$19,'chia CN SX'!$C15)</f>
        <v>0</v>
      </c>
      <c r="K15" s="419">
        <f>SUMIFS(SX!AB$2:AB$19,SX!$B$2:$B$19,'chia CN SX'!$C15)</f>
        <v>0</v>
      </c>
      <c r="L15" s="419">
        <f>SUMIFS(SX!AC$2:AC$19,SX!$B$2:$B$19,'chia CN SX'!$C15)</f>
        <v>0</v>
      </c>
      <c r="M15" s="419">
        <f>SUMIFS(SX!AD$2:AD$19,SX!$B$2:$B$19,'chia CN SX'!$C15)</f>
        <v>0</v>
      </c>
      <c r="N15" s="419">
        <f>SUMIFS(SX!AE$2:AE$19,SX!$B$2:$B$19,'chia CN SX'!$C15)</f>
        <v>0</v>
      </c>
      <c r="O15" s="419">
        <f>SUMIFS(SX!AF$2:AF$19,SX!$B$2:$B$19,'chia CN SX'!$C15)</f>
        <v>0</v>
      </c>
      <c r="P15" s="419">
        <f>SUMIFS(SX!AG$2:AG$19,SX!$B$2:$B$19,'chia CN SX'!$C15)</f>
        <v>0</v>
      </c>
      <c r="Q15" s="419">
        <f>SUMIFS(SX!AH$2:AH$19,SX!$B$2:$B$19,'chia CN SX'!$C15)</f>
        <v>0</v>
      </c>
      <c r="R15" s="419">
        <f>SUMIFS(SX!AI$2:AI$19,SX!$B$2:$B$19,'chia CN SX'!$C15)</f>
        <v>0</v>
      </c>
      <c r="S15" s="419">
        <f>SUMIFS(SX!AJ$2:AJ$19,SX!$B$2:$B$19,'chia CN SX'!$C15)</f>
        <v>0</v>
      </c>
      <c r="V15" s="67" t="str">
        <f>'chia CN boc xe'!U15</f>
        <v>Hà Hoàng Hùng</v>
      </c>
      <c r="W15" s="69">
        <f t="shared" si="1"/>
        <v>0</v>
      </c>
      <c r="X15" s="69">
        <f t="shared" si="2"/>
        <v>0</v>
      </c>
      <c r="Y15" s="69">
        <f t="shared" si="3"/>
        <v>0</v>
      </c>
      <c r="Z15" s="69">
        <f t="shared" si="4"/>
        <v>0</v>
      </c>
      <c r="AA15" s="69">
        <f t="shared" si="5"/>
        <v>0</v>
      </c>
      <c r="AB15" s="69">
        <f t="shared" si="6"/>
        <v>0</v>
      </c>
      <c r="AC15" s="69">
        <f t="shared" si="7"/>
        <v>0</v>
      </c>
      <c r="AD15" s="69">
        <f t="shared" si="8"/>
        <v>0</v>
      </c>
      <c r="AE15" s="69">
        <f t="shared" si="9"/>
        <v>0</v>
      </c>
      <c r="AF15" s="69">
        <f t="shared" si="10"/>
        <v>0</v>
      </c>
      <c r="AG15" s="69">
        <f t="shared" si="11"/>
        <v>0</v>
      </c>
      <c r="AH15" s="69">
        <f t="shared" si="12"/>
        <v>0</v>
      </c>
      <c r="AI15" s="69">
        <f t="shared" si="13"/>
        <v>0</v>
      </c>
      <c r="AJ15" s="69">
        <f t="shared" si="14"/>
        <v>0</v>
      </c>
      <c r="AK15" s="69">
        <f t="shared" si="15"/>
        <v>0</v>
      </c>
    </row>
    <row r="16" spans="1:37">
      <c r="A16" s="421">
        <f t="shared" si="16"/>
        <v>14</v>
      </c>
      <c r="B16" s="559" t="s">
        <v>578</v>
      </c>
      <c r="C16" s="421">
        <v>3</v>
      </c>
      <c r="D16" s="419">
        <f>SUMIFS(SX!U$2:U$19,SX!$B$2:$B$19,'chia CN SX'!$C16)</f>
        <v>0</v>
      </c>
      <c r="E16" s="419">
        <f>SUMIFS(SX!V$2:V$19,SX!$B$2:$B$19,'chia CN SX'!$C16)</f>
        <v>0</v>
      </c>
      <c r="F16" s="419">
        <f>SUMIFS(SX!W$2:W$19,SX!$B$2:$B$19,'chia CN SX'!$C16)</f>
        <v>0</v>
      </c>
      <c r="G16" s="419">
        <f>SUMIFS(SX!X$2:X$19,SX!$B$2:$B$19,'chia CN SX'!$C16)</f>
        <v>0</v>
      </c>
      <c r="H16" s="419">
        <f>SUMIFS(SX!Y$2:Y$19,SX!$B$2:$B$19,'chia CN SX'!$C16)</f>
        <v>0</v>
      </c>
      <c r="I16" s="419">
        <f>SUMIFS(SX!Z$2:Z$19,SX!$B$2:$B$19,'chia CN SX'!$C16)</f>
        <v>240</v>
      </c>
      <c r="J16" s="419">
        <f>SUMIFS(SX!AA$2:AA$19,SX!$B$2:$B$19,'chia CN SX'!$C16)</f>
        <v>0</v>
      </c>
      <c r="K16" s="419">
        <f>SUMIFS(SX!AB$2:AB$19,SX!$B$2:$B$19,'chia CN SX'!$C16)</f>
        <v>0</v>
      </c>
      <c r="L16" s="419">
        <f>SUMIFS(SX!AC$2:AC$19,SX!$B$2:$B$19,'chia CN SX'!$C16)</f>
        <v>0</v>
      </c>
      <c r="M16" s="419">
        <f>SUMIFS(SX!AD$2:AD$19,SX!$B$2:$B$19,'chia CN SX'!$C16)</f>
        <v>0</v>
      </c>
      <c r="N16" s="419">
        <f>SUMIFS(SX!AE$2:AE$19,SX!$B$2:$B$19,'chia CN SX'!$C16)</f>
        <v>0</v>
      </c>
      <c r="O16" s="419">
        <f>SUMIFS(SX!AF$2:AF$19,SX!$B$2:$B$19,'chia CN SX'!$C16)</f>
        <v>0</v>
      </c>
      <c r="P16" s="419">
        <f>SUMIFS(SX!AG$2:AG$19,SX!$B$2:$B$19,'chia CN SX'!$C16)</f>
        <v>0</v>
      </c>
      <c r="Q16" s="419">
        <f>SUMIFS(SX!AH$2:AH$19,SX!$B$2:$B$19,'chia CN SX'!$C16)</f>
        <v>0</v>
      </c>
      <c r="R16" s="419">
        <f>SUMIFS(SX!AI$2:AI$19,SX!$B$2:$B$19,'chia CN SX'!$C16)</f>
        <v>0</v>
      </c>
      <c r="S16" s="419">
        <f>SUMIFS(SX!AJ$2:AJ$19,SX!$B$2:$B$19,'chia CN SX'!$C16)</f>
        <v>0</v>
      </c>
      <c r="V16" s="67" t="e">
        <f>'chia CN boc xe'!U16</f>
        <v>#REF!</v>
      </c>
      <c r="W16" s="69">
        <f t="shared" si="1"/>
        <v>0</v>
      </c>
      <c r="X16" s="69">
        <f t="shared" si="2"/>
        <v>0</v>
      </c>
      <c r="Y16" s="69">
        <f t="shared" si="3"/>
        <v>0</v>
      </c>
      <c r="Z16" s="69">
        <f t="shared" si="4"/>
        <v>0</v>
      </c>
      <c r="AA16" s="69">
        <f t="shared" si="5"/>
        <v>0</v>
      </c>
      <c r="AB16" s="69">
        <f t="shared" si="6"/>
        <v>0</v>
      </c>
      <c r="AC16" s="69">
        <f t="shared" si="7"/>
        <v>0</v>
      </c>
      <c r="AD16" s="69">
        <f t="shared" si="8"/>
        <v>0</v>
      </c>
      <c r="AE16" s="69">
        <f t="shared" si="9"/>
        <v>0</v>
      </c>
      <c r="AF16" s="69">
        <f t="shared" si="10"/>
        <v>0</v>
      </c>
      <c r="AG16" s="69">
        <f t="shared" si="11"/>
        <v>0</v>
      </c>
      <c r="AH16" s="69">
        <f t="shared" si="12"/>
        <v>0</v>
      </c>
      <c r="AI16" s="69">
        <f t="shared" si="13"/>
        <v>0</v>
      </c>
      <c r="AJ16" s="69">
        <f t="shared" si="14"/>
        <v>0</v>
      </c>
      <c r="AK16" s="69">
        <f t="shared" si="15"/>
        <v>0</v>
      </c>
    </row>
    <row r="17" spans="1:37">
      <c r="A17" s="421">
        <f t="shared" si="16"/>
        <v>15</v>
      </c>
      <c r="B17" s="559" t="s">
        <v>622</v>
      </c>
      <c r="C17" s="421">
        <v>3</v>
      </c>
      <c r="D17" s="419">
        <f>SUMIFS(SX!U$2:U$19,SX!$B$2:$B$19,'chia CN SX'!$C17)</f>
        <v>0</v>
      </c>
      <c r="E17" s="419">
        <f>SUMIFS(SX!V$2:V$19,SX!$B$2:$B$19,'chia CN SX'!$C17)</f>
        <v>0</v>
      </c>
      <c r="F17" s="419">
        <f>SUMIFS(SX!W$2:W$19,SX!$B$2:$B$19,'chia CN SX'!$C17)</f>
        <v>0</v>
      </c>
      <c r="G17" s="419">
        <f>SUMIFS(SX!X$2:X$19,SX!$B$2:$B$19,'chia CN SX'!$C17)</f>
        <v>0</v>
      </c>
      <c r="H17" s="419">
        <f>SUMIFS(SX!Y$2:Y$19,SX!$B$2:$B$19,'chia CN SX'!$C17)</f>
        <v>0</v>
      </c>
      <c r="I17" s="419">
        <f>SUMIFS(SX!Z$2:Z$19,SX!$B$2:$B$19,'chia CN SX'!$C17)</f>
        <v>240</v>
      </c>
      <c r="J17" s="419">
        <f>SUMIFS(SX!AA$2:AA$19,SX!$B$2:$B$19,'chia CN SX'!$C17)</f>
        <v>0</v>
      </c>
      <c r="K17" s="419">
        <f>SUMIFS(SX!AB$2:AB$19,SX!$B$2:$B$19,'chia CN SX'!$C17)</f>
        <v>0</v>
      </c>
      <c r="L17" s="419">
        <f>SUMIFS(SX!AC$2:AC$19,SX!$B$2:$B$19,'chia CN SX'!$C17)</f>
        <v>0</v>
      </c>
      <c r="M17" s="419">
        <f>SUMIFS(SX!AD$2:AD$19,SX!$B$2:$B$19,'chia CN SX'!$C17)</f>
        <v>0</v>
      </c>
      <c r="N17" s="419">
        <f>SUMIFS(SX!AE$2:AE$19,SX!$B$2:$B$19,'chia CN SX'!$C17)</f>
        <v>0</v>
      </c>
      <c r="O17" s="419">
        <f>SUMIFS(SX!AF$2:AF$19,SX!$B$2:$B$19,'chia CN SX'!$C17)</f>
        <v>0</v>
      </c>
      <c r="P17" s="419">
        <f>SUMIFS(SX!AG$2:AG$19,SX!$B$2:$B$19,'chia CN SX'!$C17)</f>
        <v>0</v>
      </c>
      <c r="Q17" s="419">
        <f>SUMIFS(SX!AH$2:AH$19,SX!$B$2:$B$19,'chia CN SX'!$C17)</f>
        <v>0</v>
      </c>
      <c r="R17" s="419">
        <f>SUMIFS(SX!AI$2:AI$19,SX!$B$2:$B$19,'chia CN SX'!$C17)</f>
        <v>0</v>
      </c>
      <c r="S17" s="419">
        <f>SUMIFS(SX!AJ$2:AJ$19,SX!$B$2:$B$19,'chia CN SX'!$C17)</f>
        <v>0</v>
      </c>
      <c r="V17" s="67" t="str">
        <f>'chia CN boc xe'!U17</f>
        <v>Châu Văn Phước</v>
      </c>
      <c r="W17" s="69">
        <f t="shared" si="1"/>
        <v>0</v>
      </c>
      <c r="X17" s="69">
        <f t="shared" si="2"/>
        <v>0</v>
      </c>
      <c r="Y17" s="69">
        <f t="shared" si="3"/>
        <v>0</v>
      </c>
      <c r="Z17" s="69">
        <f t="shared" si="4"/>
        <v>0</v>
      </c>
      <c r="AA17" s="69">
        <f t="shared" si="5"/>
        <v>0</v>
      </c>
      <c r="AB17" s="69">
        <f t="shared" si="6"/>
        <v>0</v>
      </c>
      <c r="AC17" s="69">
        <f t="shared" si="7"/>
        <v>0</v>
      </c>
      <c r="AD17" s="69">
        <f t="shared" si="8"/>
        <v>0</v>
      </c>
      <c r="AE17" s="69">
        <f t="shared" si="9"/>
        <v>0</v>
      </c>
      <c r="AF17" s="69">
        <f t="shared" si="10"/>
        <v>0</v>
      </c>
      <c r="AG17" s="69">
        <f t="shared" si="11"/>
        <v>0</v>
      </c>
      <c r="AH17" s="69">
        <f t="shared" si="12"/>
        <v>0</v>
      </c>
      <c r="AI17" s="69">
        <f t="shared" si="13"/>
        <v>0</v>
      </c>
      <c r="AJ17" s="69">
        <f t="shared" si="14"/>
        <v>0</v>
      </c>
      <c r="AK17" s="69">
        <f t="shared" si="15"/>
        <v>0</v>
      </c>
    </row>
    <row r="18" spans="1:37">
      <c r="A18" s="421">
        <f t="shared" si="16"/>
        <v>16</v>
      </c>
      <c r="B18" s="559" t="s">
        <v>753</v>
      </c>
      <c r="C18" s="421">
        <v>3</v>
      </c>
      <c r="D18" s="419">
        <f>SUMIFS(SX!U$2:U$19,SX!$B$2:$B$19,'chia CN SX'!$C18)</f>
        <v>0</v>
      </c>
      <c r="E18" s="419">
        <f>SUMIFS(SX!V$2:V$19,SX!$B$2:$B$19,'chia CN SX'!$C18)</f>
        <v>0</v>
      </c>
      <c r="F18" s="419">
        <f>SUMIFS(SX!W$2:W$19,SX!$B$2:$B$19,'chia CN SX'!$C18)</f>
        <v>0</v>
      </c>
      <c r="G18" s="419">
        <f>SUMIFS(SX!X$2:X$19,SX!$B$2:$B$19,'chia CN SX'!$C18)</f>
        <v>0</v>
      </c>
      <c r="H18" s="419">
        <f>SUMIFS(SX!Y$2:Y$19,SX!$B$2:$B$19,'chia CN SX'!$C18)</f>
        <v>0</v>
      </c>
      <c r="I18" s="419">
        <f>SUMIFS(SX!Z$2:Z$19,SX!$B$2:$B$19,'chia CN SX'!$C18)</f>
        <v>240</v>
      </c>
      <c r="J18" s="419">
        <f>SUMIFS(SX!AA$2:AA$19,SX!$B$2:$B$19,'chia CN SX'!$C18)</f>
        <v>0</v>
      </c>
      <c r="K18" s="419">
        <f>SUMIFS(SX!AB$2:AB$19,SX!$B$2:$B$19,'chia CN SX'!$C18)</f>
        <v>0</v>
      </c>
      <c r="L18" s="419">
        <f>SUMIFS(SX!AC$2:AC$19,SX!$B$2:$B$19,'chia CN SX'!$C18)</f>
        <v>0</v>
      </c>
      <c r="M18" s="419">
        <f>SUMIFS(SX!AD$2:AD$19,SX!$B$2:$B$19,'chia CN SX'!$C18)</f>
        <v>0</v>
      </c>
      <c r="N18" s="419">
        <f>SUMIFS(SX!AE$2:AE$19,SX!$B$2:$B$19,'chia CN SX'!$C18)</f>
        <v>0</v>
      </c>
      <c r="O18" s="419">
        <f>SUMIFS(SX!AF$2:AF$19,SX!$B$2:$B$19,'chia CN SX'!$C18)</f>
        <v>0</v>
      </c>
      <c r="P18" s="419">
        <f>SUMIFS(SX!AG$2:AG$19,SX!$B$2:$B$19,'chia CN SX'!$C18)</f>
        <v>0</v>
      </c>
      <c r="Q18" s="419">
        <f>SUMIFS(SX!AH$2:AH$19,SX!$B$2:$B$19,'chia CN SX'!$C18)</f>
        <v>0</v>
      </c>
      <c r="R18" s="419">
        <f>SUMIFS(SX!AI$2:AI$19,SX!$B$2:$B$19,'chia CN SX'!$C18)</f>
        <v>0</v>
      </c>
      <c r="S18" s="419">
        <f>SUMIFS(SX!AJ$2:AJ$19,SX!$B$2:$B$19,'chia CN SX'!$C18)</f>
        <v>0</v>
      </c>
      <c r="V18" s="547" t="e">
        <f>'chia CN boc xe'!U18</f>
        <v>#REF!</v>
      </c>
      <c r="W18" s="81">
        <f>SUMIF($B$3:$B$114,$V18,D$3:D$114)</f>
        <v>0</v>
      </c>
      <c r="X18" s="81">
        <f t="shared" ref="X18:AK18" si="17">SUMIF($B$3:$B$114,$V18,E$3:E$114)</f>
        <v>0</v>
      </c>
      <c r="Y18" s="81">
        <f t="shared" si="17"/>
        <v>0</v>
      </c>
      <c r="Z18" s="81">
        <f t="shared" si="17"/>
        <v>0</v>
      </c>
      <c r="AA18" s="81">
        <f t="shared" si="17"/>
        <v>0</v>
      </c>
      <c r="AB18" s="81">
        <f t="shared" si="17"/>
        <v>0</v>
      </c>
      <c r="AC18" s="81">
        <f t="shared" si="17"/>
        <v>0</v>
      </c>
      <c r="AD18" s="81">
        <f t="shared" si="17"/>
        <v>0</v>
      </c>
      <c r="AE18" s="81">
        <f t="shared" si="17"/>
        <v>0</v>
      </c>
      <c r="AF18" s="81">
        <f t="shared" si="17"/>
        <v>0</v>
      </c>
      <c r="AG18" s="81">
        <f t="shared" si="17"/>
        <v>0</v>
      </c>
      <c r="AH18" s="81">
        <f t="shared" si="17"/>
        <v>0</v>
      </c>
      <c r="AI18" s="81">
        <f t="shared" si="17"/>
        <v>0</v>
      </c>
      <c r="AJ18" s="81">
        <f t="shared" si="17"/>
        <v>0</v>
      </c>
      <c r="AK18" s="81">
        <f t="shared" si="17"/>
        <v>0</v>
      </c>
    </row>
    <row r="19" spans="1:37">
      <c r="A19" s="421">
        <f t="shared" si="16"/>
        <v>17</v>
      </c>
      <c r="B19" s="331" t="s">
        <v>756</v>
      </c>
      <c r="C19" s="421">
        <v>3</v>
      </c>
      <c r="D19" s="419">
        <f>SUMIFS(SX!U$2:U$19,SX!$B$2:$B$19,'chia CN SX'!$C19)</f>
        <v>0</v>
      </c>
      <c r="E19" s="419">
        <f>SUMIFS(SX!V$2:V$19,SX!$B$2:$B$19,'chia CN SX'!$C19)</f>
        <v>0</v>
      </c>
      <c r="F19" s="419">
        <f>SUMIFS(SX!W$2:W$19,SX!$B$2:$B$19,'chia CN SX'!$C19)</f>
        <v>0</v>
      </c>
      <c r="G19" s="419">
        <f>SUMIFS(SX!X$2:X$19,SX!$B$2:$B$19,'chia CN SX'!$C19)</f>
        <v>0</v>
      </c>
      <c r="H19" s="419">
        <f>SUMIFS(SX!Y$2:Y$19,SX!$B$2:$B$19,'chia CN SX'!$C19)</f>
        <v>0</v>
      </c>
      <c r="I19" s="419">
        <f>SUMIFS(SX!Z$2:Z$19,SX!$B$2:$B$19,'chia CN SX'!$C19)</f>
        <v>240</v>
      </c>
      <c r="J19" s="419">
        <f>SUMIFS(SX!AA$2:AA$19,SX!$B$2:$B$19,'chia CN SX'!$C19)</f>
        <v>0</v>
      </c>
      <c r="K19" s="419">
        <f>SUMIFS(SX!AB$2:AB$19,SX!$B$2:$B$19,'chia CN SX'!$C19)</f>
        <v>0</v>
      </c>
      <c r="L19" s="419">
        <f>SUMIFS(SX!AC$2:AC$19,SX!$B$2:$B$19,'chia CN SX'!$C19)</f>
        <v>0</v>
      </c>
      <c r="M19" s="419">
        <f>SUMIFS(SX!AD$2:AD$19,SX!$B$2:$B$19,'chia CN SX'!$C19)</f>
        <v>0</v>
      </c>
      <c r="N19" s="419">
        <f>SUMIFS(SX!AE$2:AE$19,SX!$B$2:$B$19,'chia CN SX'!$C19)</f>
        <v>0</v>
      </c>
      <c r="O19" s="419">
        <f>SUMIFS(SX!AF$2:AF$19,SX!$B$2:$B$19,'chia CN SX'!$C19)</f>
        <v>0</v>
      </c>
      <c r="P19" s="419">
        <f>SUMIFS(SX!AG$2:AG$19,SX!$B$2:$B$19,'chia CN SX'!$C19)</f>
        <v>0</v>
      </c>
      <c r="Q19" s="419">
        <f>SUMIFS(SX!AH$2:AH$19,SX!$B$2:$B$19,'chia CN SX'!$C19)</f>
        <v>0</v>
      </c>
      <c r="R19" s="419">
        <f>SUMIFS(SX!AI$2:AI$19,SX!$B$2:$B$19,'chia CN SX'!$C19)</f>
        <v>0</v>
      </c>
      <c r="S19" s="419">
        <f>SUMIFS(SX!AJ$2:AJ$19,SX!$B$2:$B$19,'chia CN SX'!$C19)</f>
        <v>0</v>
      </c>
      <c r="V19" s="546" t="e">
        <f>'chia CN boc xe'!U19</f>
        <v>#REF!</v>
      </c>
      <c r="W19" s="81">
        <f t="shared" ref="W19:W33" si="18">SUMIF($B$3:$B$114,$V19,D$3:D$114)</f>
        <v>0</v>
      </c>
      <c r="X19" s="81">
        <f t="shared" ref="X19:X34" si="19">SUMIF($B$3:$B$114,$V19,E$3:E$114)</f>
        <v>0</v>
      </c>
      <c r="Y19" s="81">
        <f t="shared" ref="Y19:Y34" si="20">SUMIF($B$3:$B$114,$V19,F$3:F$114)</f>
        <v>0</v>
      </c>
      <c r="Z19" s="81">
        <f t="shared" ref="Z19:Z34" si="21">SUMIF($B$3:$B$114,$V19,G$3:G$114)</f>
        <v>0</v>
      </c>
      <c r="AA19" s="81">
        <f t="shared" ref="AA19:AA34" si="22">SUMIF($B$3:$B$114,$V19,H$3:H$114)</f>
        <v>0</v>
      </c>
      <c r="AB19" s="81">
        <f t="shared" ref="AB19:AB34" si="23">SUMIF($B$3:$B$114,$V19,I$3:I$114)</f>
        <v>0</v>
      </c>
      <c r="AC19" s="81">
        <f t="shared" ref="AC19:AC34" si="24">SUMIF($B$3:$B$114,$V19,J$3:J$114)</f>
        <v>0</v>
      </c>
      <c r="AD19" s="81">
        <f t="shared" ref="AD19:AD34" si="25">SUMIF($B$3:$B$114,$V19,K$3:K$114)</f>
        <v>0</v>
      </c>
      <c r="AE19" s="81">
        <f t="shared" ref="AE19:AE34" si="26">SUMIF($B$3:$B$114,$V19,L$3:L$114)</f>
        <v>0</v>
      </c>
      <c r="AF19" s="81">
        <f t="shared" ref="AF19:AF34" si="27">SUMIF($B$3:$B$114,$V19,M$3:M$114)</f>
        <v>0</v>
      </c>
      <c r="AG19" s="81">
        <f t="shared" ref="AG19:AG34" si="28">SUMIF($B$3:$B$114,$V19,N$3:N$114)</f>
        <v>0</v>
      </c>
      <c r="AH19" s="81">
        <f t="shared" ref="AH19:AH34" si="29">SUMIF($B$3:$B$114,$V19,O$3:O$114)</f>
        <v>0</v>
      </c>
      <c r="AI19" s="81">
        <f t="shared" ref="AI19:AI34" si="30">SUMIF($B$3:$B$114,$V19,P$3:P$114)</f>
        <v>0</v>
      </c>
      <c r="AJ19" s="81">
        <f t="shared" ref="AJ19:AJ34" si="31">SUMIF($B$3:$B$114,$V19,Q$3:Q$114)</f>
        <v>0</v>
      </c>
      <c r="AK19" s="81">
        <f t="shared" ref="AK19:AK34" si="32">SUMIF($B$3:$B$114,$V19,R$3:R$114)</f>
        <v>0</v>
      </c>
    </row>
    <row r="20" spans="1:37">
      <c r="A20" s="421">
        <f t="shared" si="16"/>
        <v>18</v>
      </c>
      <c r="B20" s="331" t="s">
        <v>755</v>
      </c>
      <c r="C20" s="421">
        <v>3</v>
      </c>
      <c r="D20" s="419">
        <f>SUMIFS(SX!U$2:U$19,SX!$B$2:$B$19,'chia CN SX'!$C20)</f>
        <v>0</v>
      </c>
      <c r="E20" s="419">
        <f>SUMIFS(SX!V$2:V$19,SX!$B$2:$B$19,'chia CN SX'!$C20)</f>
        <v>0</v>
      </c>
      <c r="F20" s="419">
        <f>SUMIFS(SX!W$2:W$19,SX!$B$2:$B$19,'chia CN SX'!$C20)</f>
        <v>0</v>
      </c>
      <c r="G20" s="419">
        <f>SUMIFS(SX!X$2:X$19,SX!$B$2:$B$19,'chia CN SX'!$C20)</f>
        <v>0</v>
      </c>
      <c r="H20" s="419">
        <f>SUMIFS(SX!Y$2:Y$19,SX!$B$2:$B$19,'chia CN SX'!$C20)</f>
        <v>0</v>
      </c>
      <c r="I20" s="419">
        <f>SUMIFS(SX!Z$2:Z$19,SX!$B$2:$B$19,'chia CN SX'!$C20)</f>
        <v>240</v>
      </c>
      <c r="J20" s="419">
        <f>SUMIFS(SX!AA$2:AA$19,SX!$B$2:$B$19,'chia CN SX'!$C20)</f>
        <v>0</v>
      </c>
      <c r="K20" s="419">
        <f>SUMIFS(SX!AB$2:AB$19,SX!$B$2:$B$19,'chia CN SX'!$C20)</f>
        <v>0</v>
      </c>
      <c r="L20" s="419">
        <f>SUMIFS(SX!AC$2:AC$19,SX!$B$2:$B$19,'chia CN SX'!$C20)</f>
        <v>0</v>
      </c>
      <c r="M20" s="419">
        <f>SUMIFS(SX!AD$2:AD$19,SX!$B$2:$B$19,'chia CN SX'!$C20)</f>
        <v>0</v>
      </c>
      <c r="N20" s="419">
        <f>SUMIFS(SX!AE$2:AE$19,SX!$B$2:$B$19,'chia CN SX'!$C20)</f>
        <v>0</v>
      </c>
      <c r="O20" s="419">
        <f>SUMIFS(SX!AF$2:AF$19,SX!$B$2:$B$19,'chia CN SX'!$C20)</f>
        <v>0</v>
      </c>
      <c r="P20" s="419">
        <f>SUMIFS(SX!AG$2:AG$19,SX!$B$2:$B$19,'chia CN SX'!$C20)</f>
        <v>0</v>
      </c>
      <c r="Q20" s="419">
        <f>SUMIFS(SX!AH$2:AH$19,SX!$B$2:$B$19,'chia CN SX'!$C20)</f>
        <v>0</v>
      </c>
      <c r="R20" s="419">
        <f>SUMIFS(SX!AI$2:AI$19,SX!$B$2:$B$19,'chia CN SX'!$C20)</f>
        <v>0</v>
      </c>
      <c r="S20" s="419">
        <f>SUMIFS(SX!AJ$2:AJ$19,SX!$B$2:$B$19,'chia CN SX'!$C20)</f>
        <v>0</v>
      </c>
      <c r="V20" s="80" t="e">
        <f>'chia CN boc xe'!U20</f>
        <v>#REF!</v>
      </c>
      <c r="W20" s="81">
        <f t="shared" si="18"/>
        <v>0</v>
      </c>
      <c r="X20" s="81">
        <f t="shared" si="19"/>
        <v>0</v>
      </c>
      <c r="Y20" s="81">
        <f t="shared" si="20"/>
        <v>0</v>
      </c>
      <c r="Z20" s="81">
        <f t="shared" si="21"/>
        <v>0</v>
      </c>
      <c r="AA20" s="81">
        <f t="shared" si="22"/>
        <v>0</v>
      </c>
      <c r="AB20" s="81">
        <f t="shared" si="23"/>
        <v>0</v>
      </c>
      <c r="AC20" s="81">
        <f t="shared" si="24"/>
        <v>0</v>
      </c>
      <c r="AD20" s="81">
        <f t="shared" si="25"/>
        <v>0</v>
      </c>
      <c r="AE20" s="81">
        <f t="shared" si="26"/>
        <v>0</v>
      </c>
      <c r="AF20" s="81">
        <f t="shared" si="27"/>
        <v>0</v>
      </c>
      <c r="AG20" s="81">
        <f t="shared" si="28"/>
        <v>0</v>
      </c>
      <c r="AH20" s="81">
        <f t="shared" si="29"/>
        <v>0</v>
      </c>
      <c r="AI20" s="81">
        <f t="shared" si="30"/>
        <v>0</v>
      </c>
      <c r="AJ20" s="81">
        <f t="shared" si="31"/>
        <v>0</v>
      </c>
      <c r="AK20" s="81">
        <f t="shared" si="32"/>
        <v>0</v>
      </c>
    </row>
    <row r="21" spans="1:37">
      <c r="A21" s="421">
        <f t="shared" si="16"/>
        <v>19</v>
      </c>
      <c r="B21" s="559" t="s">
        <v>616</v>
      </c>
      <c r="C21" s="421">
        <v>4</v>
      </c>
      <c r="D21" s="419">
        <f>SUMIFS(SX!U$2:U$19,SX!$B$2:$B$19,'chia CN SX'!$C21)</f>
        <v>600</v>
      </c>
      <c r="E21" s="419">
        <f>SUMIFS(SX!V$2:V$19,SX!$B$2:$B$19,'chia CN SX'!$C21)</f>
        <v>0</v>
      </c>
      <c r="F21" s="419">
        <f>SUMIFS(SX!W$2:W$19,SX!$B$2:$B$19,'chia CN SX'!$C21)</f>
        <v>0</v>
      </c>
      <c r="G21" s="419">
        <f>SUMIFS(SX!X$2:X$19,SX!$B$2:$B$19,'chia CN SX'!$C21)</f>
        <v>0</v>
      </c>
      <c r="H21" s="419">
        <f>SUMIFS(SX!Y$2:Y$19,SX!$B$2:$B$19,'chia CN SX'!$C21)</f>
        <v>0</v>
      </c>
      <c r="I21" s="419">
        <f>SUMIFS(SX!Z$2:Z$19,SX!$B$2:$B$19,'chia CN SX'!$C21)</f>
        <v>0</v>
      </c>
      <c r="J21" s="419">
        <f>SUMIFS(SX!AA$2:AA$19,SX!$B$2:$B$19,'chia CN SX'!$C21)</f>
        <v>0</v>
      </c>
      <c r="K21" s="419">
        <f>SUMIFS(SX!AB$2:AB$19,SX!$B$2:$B$19,'chia CN SX'!$C21)</f>
        <v>0</v>
      </c>
      <c r="L21" s="419">
        <f>SUMIFS(SX!AC$2:AC$19,SX!$B$2:$B$19,'chia CN SX'!$C21)</f>
        <v>0</v>
      </c>
      <c r="M21" s="419">
        <f>SUMIFS(SX!AD$2:AD$19,SX!$B$2:$B$19,'chia CN SX'!$C21)</f>
        <v>0</v>
      </c>
      <c r="N21" s="419">
        <f>SUMIFS(SX!AE$2:AE$19,SX!$B$2:$B$19,'chia CN SX'!$C21)</f>
        <v>0</v>
      </c>
      <c r="O21" s="419">
        <f>SUMIFS(SX!AF$2:AF$19,SX!$B$2:$B$19,'chia CN SX'!$C21)</f>
        <v>0</v>
      </c>
      <c r="P21" s="419">
        <f>SUMIFS(SX!AG$2:AG$19,SX!$B$2:$B$19,'chia CN SX'!$C21)</f>
        <v>0</v>
      </c>
      <c r="Q21" s="419">
        <f>SUMIFS(SX!AH$2:AH$19,SX!$B$2:$B$19,'chia CN SX'!$C21)</f>
        <v>0</v>
      </c>
      <c r="R21" s="419">
        <f>SUMIFS(SX!AI$2:AI$19,SX!$B$2:$B$19,'chia CN SX'!$C21)</f>
        <v>0</v>
      </c>
      <c r="S21" s="419">
        <f>SUMIFS(SX!AJ$2:AJ$19,SX!$B$2:$B$19,'chia CN SX'!$C21)</f>
        <v>0</v>
      </c>
      <c r="V21" s="80" t="str">
        <f>'chia CN boc xe'!U21</f>
        <v>Triệu Minh Tuấn</v>
      </c>
      <c r="W21" s="81">
        <f t="shared" si="18"/>
        <v>0</v>
      </c>
      <c r="X21" s="81">
        <f t="shared" si="19"/>
        <v>0</v>
      </c>
      <c r="Y21" s="81">
        <f t="shared" si="20"/>
        <v>0</v>
      </c>
      <c r="Z21" s="81">
        <f t="shared" si="21"/>
        <v>0</v>
      </c>
      <c r="AA21" s="81">
        <f t="shared" si="22"/>
        <v>0</v>
      </c>
      <c r="AB21" s="81">
        <f t="shared" si="23"/>
        <v>0</v>
      </c>
      <c r="AC21" s="81">
        <f t="shared" si="24"/>
        <v>0</v>
      </c>
      <c r="AD21" s="81">
        <f t="shared" si="25"/>
        <v>0</v>
      </c>
      <c r="AE21" s="81">
        <f t="shared" si="26"/>
        <v>0</v>
      </c>
      <c r="AF21" s="81">
        <f t="shared" si="27"/>
        <v>0</v>
      </c>
      <c r="AG21" s="81">
        <f t="shared" si="28"/>
        <v>0</v>
      </c>
      <c r="AH21" s="81">
        <f t="shared" si="29"/>
        <v>0</v>
      </c>
      <c r="AI21" s="81">
        <f t="shared" si="30"/>
        <v>0</v>
      </c>
      <c r="AJ21" s="81">
        <f t="shared" si="31"/>
        <v>0</v>
      </c>
      <c r="AK21" s="81">
        <f t="shared" si="32"/>
        <v>0</v>
      </c>
    </row>
    <row r="22" spans="1:37">
      <c r="A22" s="421">
        <f t="shared" si="16"/>
        <v>20</v>
      </c>
      <c r="B22" s="559" t="s">
        <v>744</v>
      </c>
      <c r="C22" s="421">
        <v>4</v>
      </c>
      <c r="D22" s="419">
        <f>SUMIFS(SX!U$2:U$19,SX!$B$2:$B$19,'chia CN SX'!$C22)</f>
        <v>600</v>
      </c>
      <c r="E22" s="419">
        <f>SUMIFS(SX!V$2:V$19,SX!$B$2:$B$19,'chia CN SX'!$C22)</f>
        <v>0</v>
      </c>
      <c r="F22" s="419">
        <f>SUMIFS(SX!W$2:W$19,SX!$B$2:$B$19,'chia CN SX'!$C22)</f>
        <v>0</v>
      </c>
      <c r="G22" s="419">
        <f>SUMIFS(SX!X$2:X$19,SX!$B$2:$B$19,'chia CN SX'!$C22)</f>
        <v>0</v>
      </c>
      <c r="H22" s="419">
        <f>SUMIFS(SX!Y$2:Y$19,SX!$B$2:$B$19,'chia CN SX'!$C22)</f>
        <v>0</v>
      </c>
      <c r="I22" s="419">
        <f>SUMIFS(SX!Z$2:Z$19,SX!$B$2:$B$19,'chia CN SX'!$C22)</f>
        <v>0</v>
      </c>
      <c r="J22" s="419">
        <f>SUMIFS(SX!AA$2:AA$19,SX!$B$2:$B$19,'chia CN SX'!$C22)</f>
        <v>0</v>
      </c>
      <c r="K22" s="419">
        <f>SUMIFS(SX!AB$2:AB$19,SX!$B$2:$B$19,'chia CN SX'!$C22)</f>
        <v>0</v>
      </c>
      <c r="L22" s="419">
        <f>SUMIFS(SX!AC$2:AC$19,SX!$B$2:$B$19,'chia CN SX'!$C22)</f>
        <v>0</v>
      </c>
      <c r="M22" s="419">
        <f>SUMIFS(SX!AD$2:AD$19,SX!$B$2:$B$19,'chia CN SX'!$C22)</f>
        <v>0</v>
      </c>
      <c r="N22" s="419">
        <f>SUMIFS(SX!AE$2:AE$19,SX!$B$2:$B$19,'chia CN SX'!$C22)</f>
        <v>0</v>
      </c>
      <c r="O22" s="419">
        <f>SUMIFS(SX!AF$2:AF$19,SX!$B$2:$B$19,'chia CN SX'!$C22)</f>
        <v>0</v>
      </c>
      <c r="P22" s="419">
        <f>SUMIFS(SX!AG$2:AG$19,SX!$B$2:$B$19,'chia CN SX'!$C22)</f>
        <v>0</v>
      </c>
      <c r="Q22" s="419">
        <f>SUMIFS(SX!AH$2:AH$19,SX!$B$2:$B$19,'chia CN SX'!$C22)</f>
        <v>0</v>
      </c>
      <c r="R22" s="419">
        <f>SUMIFS(SX!AI$2:AI$19,SX!$B$2:$B$19,'chia CN SX'!$C22)</f>
        <v>0</v>
      </c>
      <c r="S22" s="419">
        <f>SUMIFS(SX!AJ$2:AJ$19,SX!$B$2:$B$19,'chia CN SX'!$C22)</f>
        <v>0</v>
      </c>
      <c r="V22" s="80" t="str">
        <f>'chia CN boc xe'!U22</f>
        <v>Nguyễn Văn Phụng</v>
      </c>
      <c r="W22" s="81">
        <f t="shared" si="18"/>
        <v>0</v>
      </c>
      <c r="X22" s="81">
        <f t="shared" si="19"/>
        <v>0</v>
      </c>
      <c r="Y22" s="81">
        <f t="shared" si="20"/>
        <v>0</v>
      </c>
      <c r="Z22" s="81">
        <f t="shared" si="21"/>
        <v>0</v>
      </c>
      <c r="AA22" s="81">
        <f t="shared" si="22"/>
        <v>0</v>
      </c>
      <c r="AB22" s="81">
        <f t="shared" si="23"/>
        <v>0</v>
      </c>
      <c r="AC22" s="81">
        <f t="shared" si="24"/>
        <v>0</v>
      </c>
      <c r="AD22" s="81">
        <f t="shared" si="25"/>
        <v>0</v>
      </c>
      <c r="AE22" s="81">
        <f t="shared" si="26"/>
        <v>0</v>
      </c>
      <c r="AF22" s="81">
        <f t="shared" si="27"/>
        <v>0</v>
      </c>
      <c r="AG22" s="81">
        <f t="shared" si="28"/>
        <v>0</v>
      </c>
      <c r="AH22" s="81">
        <f t="shared" si="29"/>
        <v>0</v>
      </c>
      <c r="AI22" s="81">
        <f t="shared" si="30"/>
        <v>0</v>
      </c>
      <c r="AJ22" s="81">
        <f t="shared" si="31"/>
        <v>0</v>
      </c>
      <c r="AK22" s="81">
        <f t="shared" si="32"/>
        <v>0</v>
      </c>
    </row>
    <row r="23" spans="1:37">
      <c r="A23" s="421">
        <f t="shared" si="16"/>
        <v>21</v>
      </c>
      <c r="B23" s="559" t="s">
        <v>599</v>
      </c>
      <c r="C23" s="421">
        <v>5</v>
      </c>
      <c r="D23" s="419">
        <f>SUMIFS(SX!U$2:U$19,SX!$B$2:$B$19,'chia CN SX'!$C23)</f>
        <v>0</v>
      </c>
      <c r="E23" s="419">
        <f>SUMIFS(SX!V$2:V$19,SX!$B$2:$B$19,'chia CN SX'!$C23)</f>
        <v>0</v>
      </c>
      <c r="F23" s="419">
        <f>SUMIFS(SX!W$2:W$19,SX!$B$2:$B$19,'chia CN SX'!$C23)</f>
        <v>0</v>
      </c>
      <c r="G23" s="419">
        <f>SUMIFS(SX!X$2:X$19,SX!$B$2:$B$19,'chia CN SX'!$C23)</f>
        <v>333.33333333333331</v>
      </c>
      <c r="H23" s="419">
        <f>SUMIFS(SX!Y$2:Y$19,SX!$B$2:$B$19,'chia CN SX'!$C23)</f>
        <v>0</v>
      </c>
      <c r="I23" s="419">
        <f>SUMIFS(SX!Z$2:Z$19,SX!$B$2:$B$19,'chia CN SX'!$C23)</f>
        <v>0</v>
      </c>
      <c r="J23" s="419">
        <f>SUMIFS(SX!AA$2:AA$19,SX!$B$2:$B$19,'chia CN SX'!$C23)</f>
        <v>0</v>
      </c>
      <c r="K23" s="419">
        <f>SUMIFS(SX!AB$2:AB$19,SX!$B$2:$B$19,'chia CN SX'!$C23)</f>
        <v>0</v>
      </c>
      <c r="L23" s="419">
        <f>SUMIFS(SX!AC$2:AC$19,SX!$B$2:$B$19,'chia CN SX'!$C23)</f>
        <v>0</v>
      </c>
      <c r="M23" s="419">
        <f>SUMIFS(SX!AD$2:AD$19,SX!$B$2:$B$19,'chia CN SX'!$C23)</f>
        <v>0</v>
      </c>
      <c r="N23" s="419">
        <f>SUMIFS(SX!AE$2:AE$19,SX!$B$2:$B$19,'chia CN SX'!$C23)</f>
        <v>0</v>
      </c>
      <c r="O23" s="419">
        <f>SUMIFS(SX!AF$2:AF$19,SX!$B$2:$B$19,'chia CN SX'!$C23)</f>
        <v>0</v>
      </c>
      <c r="P23" s="419">
        <f>SUMIFS(SX!AG$2:AG$19,SX!$B$2:$B$19,'chia CN SX'!$C23)</f>
        <v>0</v>
      </c>
      <c r="Q23" s="419">
        <f>SUMIFS(SX!AH$2:AH$19,SX!$B$2:$B$19,'chia CN SX'!$C23)</f>
        <v>0</v>
      </c>
      <c r="R23" s="419">
        <f>SUMIFS(SX!AI$2:AI$19,SX!$B$2:$B$19,'chia CN SX'!$C23)</f>
        <v>0</v>
      </c>
      <c r="S23" s="419">
        <f>SUMIFS(SX!AJ$2:AJ$19,SX!$B$2:$B$19,'chia CN SX'!$C23)</f>
        <v>0</v>
      </c>
      <c r="V23" s="80" t="e">
        <f>'chia CN boc xe'!U23</f>
        <v>#REF!</v>
      </c>
      <c r="W23" s="81">
        <f t="shared" si="18"/>
        <v>0</v>
      </c>
      <c r="X23" s="81">
        <f t="shared" si="19"/>
        <v>0</v>
      </c>
      <c r="Y23" s="81">
        <f t="shared" si="20"/>
        <v>0</v>
      </c>
      <c r="Z23" s="81">
        <f t="shared" si="21"/>
        <v>0</v>
      </c>
      <c r="AA23" s="81">
        <f t="shared" si="22"/>
        <v>0</v>
      </c>
      <c r="AB23" s="81">
        <f t="shared" si="23"/>
        <v>0</v>
      </c>
      <c r="AC23" s="81">
        <f t="shared" si="24"/>
        <v>0</v>
      </c>
      <c r="AD23" s="81">
        <f t="shared" si="25"/>
        <v>0</v>
      </c>
      <c r="AE23" s="81">
        <f t="shared" si="26"/>
        <v>0</v>
      </c>
      <c r="AF23" s="81">
        <f t="shared" si="27"/>
        <v>0</v>
      </c>
      <c r="AG23" s="81">
        <f t="shared" si="28"/>
        <v>0</v>
      </c>
      <c r="AH23" s="81">
        <f t="shared" si="29"/>
        <v>0</v>
      </c>
      <c r="AI23" s="81">
        <f t="shared" si="30"/>
        <v>0</v>
      </c>
      <c r="AJ23" s="81">
        <f t="shared" si="31"/>
        <v>0</v>
      </c>
      <c r="AK23" s="81">
        <f t="shared" si="32"/>
        <v>0</v>
      </c>
    </row>
    <row r="24" spans="1:37">
      <c r="A24" s="421">
        <f t="shared" si="16"/>
        <v>22</v>
      </c>
      <c r="B24" s="331" t="s">
        <v>601</v>
      </c>
      <c r="C24" s="421">
        <v>5</v>
      </c>
      <c r="D24" s="419">
        <f>SUMIFS(SX!U$2:U$19,SX!$B$2:$B$19,'chia CN SX'!$C24)</f>
        <v>0</v>
      </c>
      <c r="E24" s="419">
        <f>SUMIFS(SX!V$2:V$19,SX!$B$2:$B$19,'chia CN SX'!$C24)</f>
        <v>0</v>
      </c>
      <c r="F24" s="419">
        <f>SUMIFS(SX!W$2:W$19,SX!$B$2:$B$19,'chia CN SX'!$C24)</f>
        <v>0</v>
      </c>
      <c r="G24" s="419">
        <f>SUMIFS(SX!X$2:X$19,SX!$B$2:$B$19,'chia CN SX'!$C24)</f>
        <v>333.33333333333331</v>
      </c>
      <c r="H24" s="419">
        <f>SUMIFS(SX!Y$2:Y$19,SX!$B$2:$B$19,'chia CN SX'!$C24)</f>
        <v>0</v>
      </c>
      <c r="I24" s="419">
        <f>SUMIFS(SX!Z$2:Z$19,SX!$B$2:$B$19,'chia CN SX'!$C24)</f>
        <v>0</v>
      </c>
      <c r="J24" s="419">
        <f>SUMIFS(SX!AA$2:AA$19,SX!$B$2:$B$19,'chia CN SX'!$C24)</f>
        <v>0</v>
      </c>
      <c r="K24" s="419">
        <f>SUMIFS(SX!AB$2:AB$19,SX!$B$2:$B$19,'chia CN SX'!$C24)</f>
        <v>0</v>
      </c>
      <c r="L24" s="419">
        <f>SUMIFS(SX!AC$2:AC$19,SX!$B$2:$B$19,'chia CN SX'!$C24)</f>
        <v>0</v>
      </c>
      <c r="M24" s="419">
        <f>SUMIFS(SX!AD$2:AD$19,SX!$B$2:$B$19,'chia CN SX'!$C24)</f>
        <v>0</v>
      </c>
      <c r="N24" s="419">
        <f>SUMIFS(SX!AE$2:AE$19,SX!$B$2:$B$19,'chia CN SX'!$C24)</f>
        <v>0</v>
      </c>
      <c r="O24" s="419">
        <f>SUMIFS(SX!AF$2:AF$19,SX!$B$2:$B$19,'chia CN SX'!$C24)</f>
        <v>0</v>
      </c>
      <c r="P24" s="419">
        <f>SUMIFS(SX!AG$2:AG$19,SX!$B$2:$B$19,'chia CN SX'!$C24)</f>
        <v>0</v>
      </c>
      <c r="Q24" s="419">
        <f>SUMIFS(SX!AH$2:AH$19,SX!$B$2:$B$19,'chia CN SX'!$C24)</f>
        <v>0</v>
      </c>
      <c r="R24" s="419">
        <f>SUMIFS(SX!AI$2:AI$19,SX!$B$2:$B$19,'chia CN SX'!$C24)</f>
        <v>0</v>
      </c>
      <c r="S24" s="419">
        <f>SUMIFS(SX!AJ$2:AJ$19,SX!$B$2:$B$19,'chia CN SX'!$C24)</f>
        <v>0</v>
      </c>
      <c r="V24" s="80" t="str">
        <f>'chia CN boc xe'!U24</f>
        <v xml:space="preserve">Nguyễn Minh Tuấn </v>
      </c>
      <c r="W24" s="81">
        <f t="shared" si="18"/>
        <v>0</v>
      </c>
      <c r="X24" s="81">
        <f t="shared" si="19"/>
        <v>0</v>
      </c>
      <c r="Y24" s="81">
        <f t="shared" si="20"/>
        <v>0</v>
      </c>
      <c r="Z24" s="81">
        <f t="shared" si="21"/>
        <v>0</v>
      </c>
      <c r="AA24" s="81">
        <f t="shared" si="22"/>
        <v>0</v>
      </c>
      <c r="AB24" s="81">
        <f t="shared" si="23"/>
        <v>0</v>
      </c>
      <c r="AC24" s="81">
        <f t="shared" si="24"/>
        <v>0</v>
      </c>
      <c r="AD24" s="81">
        <f t="shared" si="25"/>
        <v>0</v>
      </c>
      <c r="AE24" s="81">
        <f t="shared" si="26"/>
        <v>0</v>
      </c>
      <c r="AF24" s="81">
        <f t="shared" si="27"/>
        <v>0</v>
      </c>
      <c r="AG24" s="81">
        <f t="shared" si="28"/>
        <v>0</v>
      </c>
      <c r="AH24" s="81">
        <f t="shared" si="29"/>
        <v>0</v>
      </c>
      <c r="AI24" s="81">
        <f t="shared" si="30"/>
        <v>0</v>
      </c>
      <c r="AJ24" s="81">
        <f t="shared" si="31"/>
        <v>0</v>
      </c>
      <c r="AK24" s="81">
        <f t="shared" si="32"/>
        <v>0</v>
      </c>
    </row>
    <row r="25" spans="1:37">
      <c r="A25" s="421">
        <f t="shared" si="16"/>
        <v>23</v>
      </c>
      <c r="B25" s="560" t="s">
        <v>615</v>
      </c>
      <c r="C25" s="421">
        <v>5</v>
      </c>
      <c r="D25" s="419">
        <f>SUMIFS(SX!U$2:U$19,SX!$B$2:$B$19,'chia CN SX'!$C25)</f>
        <v>0</v>
      </c>
      <c r="E25" s="419">
        <f>SUMIFS(SX!V$2:V$19,SX!$B$2:$B$19,'chia CN SX'!$C25)</f>
        <v>0</v>
      </c>
      <c r="F25" s="419">
        <f>SUMIFS(SX!W$2:W$19,SX!$B$2:$B$19,'chia CN SX'!$C25)</f>
        <v>0</v>
      </c>
      <c r="G25" s="419">
        <f>SUMIFS(SX!X$2:X$19,SX!$B$2:$B$19,'chia CN SX'!$C25)</f>
        <v>333.33333333333331</v>
      </c>
      <c r="H25" s="419">
        <f>SUMIFS(SX!Y$2:Y$19,SX!$B$2:$B$19,'chia CN SX'!$C25)</f>
        <v>0</v>
      </c>
      <c r="I25" s="419">
        <f>SUMIFS(SX!Z$2:Z$19,SX!$B$2:$B$19,'chia CN SX'!$C25)</f>
        <v>0</v>
      </c>
      <c r="J25" s="419">
        <f>SUMIFS(SX!AA$2:AA$19,SX!$B$2:$B$19,'chia CN SX'!$C25)</f>
        <v>0</v>
      </c>
      <c r="K25" s="419">
        <f>SUMIFS(SX!AB$2:AB$19,SX!$B$2:$B$19,'chia CN SX'!$C25)</f>
        <v>0</v>
      </c>
      <c r="L25" s="419">
        <f>SUMIFS(SX!AC$2:AC$19,SX!$B$2:$B$19,'chia CN SX'!$C25)</f>
        <v>0</v>
      </c>
      <c r="M25" s="419">
        <f>SUMIFS(SX!AD$2:AD$19,SX!$B$2:$B$19,'chia CN SX'!$C25)</f>
        <v>0</v>
      </c>
      <c r="N25" s="419">
        <f>SUMIFS(SX!AE$2:AE$19,SX!$B$2:$B$19,'chia CN SX'!$C25)</f>
        <v>0</v>
      </c>
      <c r="O25" s="419">
        <f>SUMIFS(SX!AF$2:AF$19,SX!$B$2:$B$19,'chia CN SX'!$C25)</f>
        <v>0</v>
      </c>
      <c r="P25" s="419">
        <f>SUMIFS(SX!AG$2:AG$19,SX!$B$2:$B$19,'chia CN SX'!$C25)</f>
        <v>0</v>
      </c>
      <c r="Q25" s="419">
        <f>SUMIFS(SX!AH$2:AH$19,SX!$B$2:$B$19,'chia CN SX'!$C25)</f>
        <v>0</v>
      </c>
      <c r="R25" s="419">
        <f>SUMIFS(SX!AI$2:AI$19,SX!$B$2:$B$19,'chia CN SX'!$C25)</f>
        <v>0</v>
      </c>
      <c r="S25" s="419">
        <f>SUMIFS(SX!AJ$2:AJ$19,SX!$B$2:$B$19,'chia CN SX'!$C25)</f>
        <v>0</v>
      </c>
      <c r="V25" s="80" t="e">
        <f>'chia CN boc xe'!U25</f>
        <v>#REF!</v>
      </c>
      <c r="W25" s="81">
        <f t="shared" si="18"/>
        <v>0</v>
      </c>
      <c r="X25" s="81">
        <f t="shared" si="19"/>
        <v>0</v>
      </c>
      <c r="Y25" s="81">
        <f t="shared" si="20"/>
        <v>0</v>
      </c>
      <c r="Z25" s="81">
        <f t="shared" si="21"/>
        <v>0</v>
      </c>
      <c r="AA25" s="81">
        <f t="shared" si="22"/>
        <v>0</v>
      </c>
      <c r="AB25" s="81">
        <f t="shared" si="23"/>
        <v>0</v>
      </c>
      <c r="AC25" s="81">
        <f t="shared" si="24"/>
        <v>0</v>
      </c>
      <c r="AD25" s="81">
        <f t="shared" si="25"/>
        <v>0</v>
      </c>
      <c r="AE25" s="81">
        <f t="shared" si="26"/>
        <v>0</v>
      </c>
      <c r="AF25" s="81">
        <f t="shared" si="27"/>
        <v>0</v>
      </c>
      <c r="AG25" s="81">
        <f t="shared" si="28"/>
        <v>0</v>
      </c>
      <c r="AH25" s="81">
        <f t="shared" si="29"/>
        <v>0</v>
      </c>
      <c r="AI25" s="81">
        <f t="shared" si="30"/>
        <v>0</v>
      </c>
      <c r="AJ25" s="81">
        <f t="shared" si="31"/>
        <v>0</v>
      </c>
      <c r="AK25" s="81">
        <f t="shared" si="32"/>
        <v>0</v>
      </c>
    </row>
    <row r="26" spans="1:37">
      <c r="A26" s="421">
        <f t="shared" si="16"/>
        <v>24</v>
      </c>
      <c r="B26" s="560" t="s">
        <v>749</v>
      </c>
      <c r="C26" s="421">
        <v>5</v>
      </c>
      <c r="D26" s="419">
        <f>SUMIFS(SX!U$2:U$19,SX!$B$2:$B$19,'chia CN SX'!$C26)</f>
        <v>0</v>
      </c>
      <c r="E26" s="419">
        <f>SUMIFS(SX!V$2:V$19,SX!$B$2:$B$19,'chia CN SX'!$C26)</f>
        <v>0</v>
      </c>
      <c r="F26" s="419">
        <f>SUMIFS(SX!W$2:W$19,SX!$B$2:$B$19,'chia CN SX'!$C26)</f>
        <v>0</v>
      </c>
      <c r="G26" s="419">
        <f>SUMIFS(SX!X$2:X$19,SX!$B$2:$B$19,'chia CN SX'!$C26)</f>
        <v>333.33333333333331</v>
      </c>
      <c r="H26" s="419">
        <f>SUMIFS(SX!Y$2:Y$19,SX!$B$2:$B$19,'chia CN SX'!$C26)</f>
        <v>0</v>
      </c>
      <c r="I26" s="419">
        <f>SUMIFS(SX!Z$2:Z$19,SX!$B$2:$B$19,'chia CN SX'!$C26)</f>
        <v>0</v>
      </c>
      <c r="J26" s="419">
        <f>SUMIFS(SX!AA$2:AA$19,SX!$B$2:$B$19,'chia CN SX'!$C26)</f>
        <v>0</v>
      </c>
      <c r="K26" s="419">
        <f>SUMIFS(SX!AB$2:AB$19,SX!$B$2:$B$19,'chia CN SX'!$C26)</f>
        <v>0</v>
      </c>
      <c r="L26" s="419">
        <f>SUMIFS(SX!AC$2:AC$19,SX!$B$2:$B$19,'chia CN SX'!$C26)</f>
        <v>0</v>
      </c>
      <c r="M26" s="419">
        <f>SUMIFS(SX!AD$2:AD$19,SX!$B$2:$B$19,'chia CN SX'!$C26)</f>
        <v>0</v>
      </c>
      <c r="N26" s="419">
        <f>SUMIFS(SX!AE$2:AE$19,SX!$B$2:$B$19,'chia CN SX'!$C26)</f>
        <v>0</v>
      </c>
      <c r="O26" s="419">
        <f>SUMIFS(SX!AF$2:AF$19,SX!$B$2:$B$19,'chia CN SX'!$C26)</f>
        <v>0</v>
      </c>
      <c r="P26" s="419">
        <f>SUMIFS(SX!AG$2:AG$19,SX!$B$2:$B$19,'chia CN SX'!$C26)</f>
        <v>0</v>
      </c>
      <c r="Q26" s="419">
        <f>SUMIFS(SX!AH$2:AH$19,SX!$B$2:$B$19,'chia CN SX'!$C26)</f>
        <v>0</v>
      </c>
      <c r="R26" s="419">
        <f>SUMIFS(SX!AI$2:AI$19,SX!$B$2:$B$19,'chia CN SX'!$C26)</f>
        <v>0</v>
      </c>
      <c r="S26" s="419">
        <f>SUMIFS(SX!AJ$2:AJ$19,SX!$B$2:$B$19,'chia CN SX'!$C26)</f>
        <v>0</v>
      </c>
      <c r="V26" s="80" t="str">
        <f>'chia CN boc xe'!U26</f>
        <v xml:space="preserve">Triệu Bô Na </v>
      </c>
      <c r="W26" s="81">
        <f t="shared" si="18"/>
        <v>0</v>
      </c>
      <c r="X26" s="81">
        <f t="shared" si="19"/>
        <v>0</v>
      </c>
      <c r="Y26" s="81">
        <f t="shared" si="20"/>
        <v>0</v>
      </c>
      <c r="Z26" s="81">
        <f t="shared" si="21"/>
        <v>0</v>
      </c>
      <c r="AA26" s="81">
        <f t="shared" si="22"/>
        <v>0</v>
      </c>
      <c r="AB26" s="81">
        <f t="shared" si="23"/>
        <v>0</v>
      </c>
      <c r="AC26" s="81">
        <f t="shared" si="24"/>
        <v>0</v>
      </c>
      <c r="AD26" s="81">
        <f t="shared" si="25"/>
        <v>0</v>
      </c>
      <c r="AE26" s="81">
        <f t="shared" si="26"/>
        <v>0</v>
      </c>
      <c r="AF26" s="81">
        <f t="shared" si="27"/>
        <v>0</v>
      </c>
      <c r="AG26" s="81">
        <f t="shared" si="28"/>
        <v>0</v>
      </c>
      <c r="AH26" s="81">
        <f t="shared" si="29"/>
        <v>0</v>
      </c>
      <c r="AI26" s="81">
        <f t="shared" si="30"/>
        <v>0</v>
      </c>
      <c r="AJ26" s="81">
        <f t="shared" si="31"/>
        <v>0</v>
      </c>
      <c r="AK26" s="81">
        <f t="shared" si="32"/>
        <v>0</v>
      </c>
    </row>
    <row r="27" spans="1:37">
      <c r="A27" s="421">
        <f t="shared" si="16"/>
        <v>25</v>
      </c>
      <c r="B27" s="560" t="s">
        <v>720</v>
      </c>
      <c r="C27" s="421">
        <v>6</v>
      </c>
      <c r="D27" s="419">
        <f>SUMIFS(SX!U$2:U$19,SX!$B$2:$B$19,'chia CN SX'!$C27)</f>
        <v>0</v>
      </c>
      <c r="E27" s="419">
        <f>SUMIFS(SX!V$2:V$19,SX!$B$2:$B$19,'chia CN SX'!$C27)</f>
        <v>270</v>
      </c>
      <c r="F27" s="419">
        <f>SUMIFS(SX!W$2:W$19,SX!$B$2:$B$19,'chia CN SX'!$C27)</f>
        <v>0</v>
      </c>
      <c r="G27" s="419">
        <f>SUMIFS(SX!X$2:X$19,SX!$B$2:$B$19,'chia CN SX'!$C27)</f>
        <v>0</v>
      </c>
      <c r="H27" s="419">
        <f>SUMIFS(SX!Y$2:Y$19,SX!$B$2:$B$19,'chia CN SX'!$C27)</f>
        <v>0</v>
      </c>
      <c r="I27" s="419">
        <f>SUMIFS(SX!Z$2:Z$19,SX!$B$2:$B$19,'chia CN SX'!$C27)</f>
        <v>0</v>
      </c>
      <c r="J27" s="419">
        <f>SUMIFS(SX!AA$2:AA$19,SX!$B$2:$B$19,'chia CN SX'!$C27)</f>
        <v>0</v>
      </c>
      <c r="K27" s="419">
        <f>SUMIFS(SX!AB$2:AB$19,SX!$B$2:$B$19,'chia CN SX'!$C27)</f>
        <v>0</v>
      </c>
      <c r="L27" s="419">
        <f>SUMIFS(SX!AC$2:AC$19,SX!$B$2:$B$19,'chia CN SX'!$C27)</f>
        <v>0</v>
      </c>
      <c r="M27" s="419">
        <f>SUMIFS(SX!AD$2:AD$19,SX!$B$2:$B$19,'chia CN SX'!$C27)</f>
        <v>0</v>
      </c>
      <c r="N27" s="419">
        <f>SUMIFS(SX!AE$2:AE$19,SX!$B$2:$B$19,'chia CN SX'!$C27)</f>
        <v>0</v>
      </c>
      <c r="O27" s="419">
        <f>SUMIFS(SX!AF$2:AF$19,SX!$B$2:$B$19,'chia CN SX'!$C27)</f>
        <v>0</v>
      </c>
      <c r="P27" s="419">
        <f>SUMIFS(SX!AG$2:AG$19,SX!$B$2:$B$19,'chia CN SX'!$C27)</f>
        <v>0</v>
      </c>
      <c r="Q27" s="419">
        <f>SUMIFS(SX!AH$2:AH$19,SX!$B$2:$B$19,'chia CN SX'!$C27)</f>
        <v>0</v>
      </c>
      <c r="R27" s="419">
        <f>SUMIFS(SX!AI$2:AI$19,SX!$B$2:$B$19,'chia CN SX'!$C27)</f>
        <v>0</v>
      </c>
      <c r="S27" s="419">
        <f>SUMIFS(SX!AJ$2:AJ$19,SX!$B$2:$B$19,'chia CN SX'!$C27)</f>
        <v>0</v>
      </c>
      <c r="V27" s="80" t="str">
        <f>'chia CN boc xe'!U27</f>
        <v xml:space="preserve">Trần Văn Thứ </v>
      </c>
      <c r="W27" s="81">
        <f t="shared" si="18"/>
        <v>0</v>
      </c>
      <c r="X27" s="81">
        <f t="shared" si="19"/>
        <v>0</v>
      </c>
      <c r="Y27" s="81">
        <f t="shared" si="20"/>
        <v>0</v>
      </c>
      <c r="Z27" s="81">
        <f t="shared" si="21"/>
        <v>0</v>
      </c>
      <c r="AA27" s="81">
        <f t="shared" si="22"/>
        <v>0</v>
      </c>
      <c r="AB27" s="81">
        <f t="shared" si="23"/>
        <v>0</v>
      </c>
      <c r="AC27" s="81">
        <f t="shared" si="24"/>
        <v>0</v>
      </c>
      <c r="AD27" s="81">
        <f t="shared" si="25"/>
        <v>0</v>
      </c>
      <c r="AE27" s="81">
        <f t="shared" si="26"/>
        <v>0</v>
      </c>
      <c r="AF27" s="81">
        <f t="shared" si="27"/>
        <v>0</v>
      </c>
      <c r="AG27" s="81">
        <f t="shared" si="28"/>
        <v>0</v>
      </c>
      <c r="AH27" s="81">
        <f t="shared" si="29"/>
        <v>0</v>
      </c>
      <c r="AI27" s="81">
        <f t="shared" si="30"/>
        <v>0</v>
      </c>
      <c r="AJ27" s="81">
        <f t="shared" si="31"/>
        <v>0</v>
      </c>
      <c r="AK27" s="81">
        <f t="shared" si="32"/>
        <v>0</v>
      </c>
    </row>
    <row r="28" spans="1:37">
      <c r="A28" s="421">
        <f t="shared" si="16"/>
        <v>26</v>
      </c>
      <c r="B28" s="560" t="s">
        <v>748</v>
      </c>
      <c r="C28" s="421">
        <v>6</v>
      </c>
      <c r="D28" s="419">
        <f>SUMIFS(SX!U$2:U$19,SX!$B$2:$B$19,'chia CN SX'!$C28)</f>
        <v>0</v>
      </c>
      <c r="E28" s="419">
        <f>SUMIFS(SX!V$2:V$19,SX!$B$2:$B$19,'chia CN SX'!$C28)</f>
        <v>270</v>
      </c>
      <c r="F28" s="419">
        <f>SUMIFS(SX!W$2:W$19,SX!$B$2:$B$19,'chia CN SX'!$C28)</f>
        <v>0</v>
      </c>
      <c r="G28" s="419">
        <f>SUMIFS(SX!X$2:X$19,SX!$B$2:$B$19,'chia CN SX'!$C28)</f>
        <v>0</v>
      </c>
      <c r="H28" s="419">
        <f>SUMIFS(SX!Y$2:Y$19,SX!$B$2:$B$19,'chia CN SX'!$C28)</f>
        <v>0</v>
      </c>
      <c r="I28" s="419">
        <f>SUMIFS(SX!Z$2:Z$19,SX!$B$2:$B$19,'chia CN SX'!$C28)</f>
        <v>0</v>
      </c>
      <c r="J28" s="419">
        <f>SUMIFS(SX!AA$2:AA$19,SX!$B$2:$B$19,'chia CN SX'!$C28)</f>
        <v>0</v>
      </c>
      <c r="K28" s="419">
        <f>SUMIFS(SX!AB$2:AB$19,SX!$B$2:$B$19,'chia CN SX'!$C28)</f>
        <v>0</v>
      </c>
      <c r="L28" s="419">
        <f>SUMIFS(SX!AC$2:AC$19,SX!$B$2:$B$19,'chia CN SX'!$C28)</f>
        <v>0</v>
      </c>
      <c r="M28" s="419">
        <f>SUMIFS(SX!AD$2:AD$19,SX!$B$2:$B$19,'chia CN SX'!$C28)</f>
        <v>0</v>
      </c>
      <c r="N28" s="419">
        <f>SUMIFS(SX!AE$2:AE$19,SX!$B$2:$B$19,'chia CN SX'!$C28)</f>
        <v>0</v>
      </c>
      <c r="O28" s="419">
        <f>SUMIFS(SX!AF$2:AF$19,SX!$B$2:$B$19,'chia CN SX'!$C28)</f>
        <v>0</v>
      </c>
      <c r="P28" s="419">
        <f>SUMIFS(SX!AG$2:AG$19,SX!$B$2:$B$19,'chia CN SX'!$C28)</f>
        <v>0</v>
      </c>
      <c r="Q28" s="419">
        <f>SUMIFS(SX!AH$2:AH$19,SX!$B$2:$B$19,'chia CN SX'!$C28)</f>
        <v>0</v>
      </c>
      <c r="R28" s="419">
        <f>SUMIFS(SX!AI$2:AI$19,SX!$B$2:$B$19,'chia CN SX'!$C28)</f>
        <v>0</v>
      </c>
      <c r="S28" s="419">
        <f>SUMIFS(SX!AJ$2:AJ$19,SX!$B$2:$B$19,'chia CN SX'!$C28)</f>
        <v>0</v>
      </c>
      <c r="V28" s="80" t="str">
        <f>'chia CN boc xe'!U28</f>
        <v>Quách Văn Chánh</v>
      </c>
      <c r="W28" s="81">
        <f t="shared" si="18"/>
        <v>0</v>
      </c>
      <c r="X28" s="81">
        <f t="shared" si="19"/>
        <v>0</v>
      </c>
      <c r="Y28" s="81">
        <f t="shared" si="20"/>
        <v>0</v>
      </c>
      <c r="Z28" s="81">
        <f t="shared" si="21"/>
        <v>0</v>
      </c>
      <c r="AA28" s="81">
        <f t="shared" si="22"/>
        <v>0</v>
      </c>
      <c r="AB28" s="81">
        <f t="shared" si="23"/>
        <v>0</v>
      </c>
      <c r="AC28" s="81">
        <f t="shared" si="24"/>
        <v>0</v>
      </c>
      <c r="AD28" s="81">
        <f t="shared" si="25"/>
        <v>0</v>
      </c>
      <c r="AE28" s="81">
        <f t="shared" si="26"/>
        <v>0</v>
      </c>
      <c r="AF28" s="81">
        <f t="shared" si="27"/>
        <v>0</v>
      </c>
      <c r="AG28" s="81">
        <f t="shared" si="28"/>
        <v>0</v>
      </c>
      <c r="AH28" s="81">
        <f t="shared" si="29"/>
        <v>0</v>
      </c>
      <c r="AI28" s="81">
        <f t="shared" si="30"/>
        <v>0</v>
      </c>
      <c r="AJ28" s="81">
        <f t="shared" si="31"/>
        <v>0</v>
      </c>
      <c r="AK28" s="81">
        <f t="shared" si="32"/>
        <v>0</v>
      </c>
    </row>
    <row r="29" spans="1:37">
      <c r="A29" s="421">
        <f t="shared" si="16"/>
        <v>27</v>
      </c>
      <c r="B29" s="561" t="s">
        <v>600</v>
      </c>
      <c r="C29" s="421">
        <v>7</v>
      </c>
      <c r="D29" s="419">
        <f>SUMIFS(SX!U$2:U$19,SX!$B$2:$B$19,'chia CN SX'!$C29)</f>
        <v>0</v>
      </c>
      <c r="E29" s="419">
        <f>SUMIFS(SX!V$2:V$19,SX!$B$2:$B$19,'chia CN SX'!$C29)</f>
        <v>0</v>
      </c>
      <c r="F29" s="419">
        <f>SUMIFS(SX!W$2:W$19,SX!$B$2:$B$19,'chia CN SX'!$C29)</f>
        <v>0</v>
      </c>
      <c r="G29" s="419">
        <f>SUMIFS(SX!X$2:X$19,SX!$B$2:$B$19,'chia CN SX'!$C29)</f>
        <v>233.33333333333334</v>
      </c>
      <c r="H29" s="419">
        <f>SUMIFS(SX!Y$2:Y$19,SX!$B$2:$B$19,'chia CN SX'!$C29)</f>
        <v>0</v>
      </c>
      <c r="I29" s="419">
        <f>SUMIFS(SX!Z$2:Z$19,SX!$B$2:$B$19,'chia CN SX'!$C29)</f>
        <v>0</v>
      </c>
      <c r="J29" s="419">
        <f>SUMIFS(SX!AA$2:AA$19,SX!$B$2:$B$19,'chia CN SX'!$C29)</f>
        <v>0</v>
      </c>
      <c r="K29" s="419">
        <f>SUMIFS(SX!AB$2:AB$19,SX!$B$2:$B$19,'chia CN SX'!$C29)</f>
        <v>0</v>
      </c>
      <c r="L29" s="419">
        <f>SUMIFS(SX!AC$2:AC$19,SX!$B$2:$B$19,'chia CN SX'!$C29)</f>
        <v>0</v>
      </c>
      <c r="M29" s="419">
        <f>SUMIFS(SX!AD$2:AD$19,SX!$B$2:$B$19,'chia CN SX'!$C29)</f>
        <v>0</v>
      </c>
      <c r="N29" s="419">
        <f>SUMIFS(SX!AE$2:AE$19,SX!$B$2:$B$19,'chia CN SX'!$C29)</f>
        <v>0</v>
      </c>
      <c r="O29" s="419">
        <f>SUMIFS(SX!AF$2:AF$19,SX!$B$2:$B$19,'chia CN SX'!$C29)</f>
        <v>0</v>
      </c>
      <c r="P29" s="419">
        <f>SUMIFS(SX!AG$2:AG$19,SX!$B$2:$B$19,'chia CN SX'!$C29)</f>
        <v>0</v>
      </c>
      <c r="Q29" s="419">
        <f>SUMIFS(SX!AH$2:AH$19,SX!$B$2:$B$19,'chia CN SX'!$C29)</f>
        <v>0</v>
      </c>
      <c r="R29" s="419">
        <f>SUMIFS(SX!AI$2:AI$19,SX!$B$2:$B$19,'chia CN SX'!$C29)</f>
        <v>0</v>
      </c>
      <c r="S29" s="419">
        <f>SUMIFS(SX!AJ$2:AJ$19,SX!$B$2:$B$19,'chia CN SX'!$C29)</f>
        <v>0</v>
      </c>
      <c r="V29" s="80" t="str">
        <f>'chia CN boc xe'!U29</f>
        <v>Nguyễn Tấn Kiệt</v>
      </c>
      <c r="W29" s="81">
        <f t="shared" si="18"/>
        <v>0</v>
      </c>
      <c r="X29" s="81">
        <f t="shared" si="19"/>
        <v>0</v>
      </c>
      <c r="Y29" s="81">
        <f t="shared" si="20"/>
        <v>0</v>
      </c>
      <c r="Z29" s="81">
        <f t="shared" si="21"/>
        <v>0</v>
      </c>
      <c r="AA29" s="81">
        <f t="shared" si="22"/>
        <v>0</v>
      </c>
      <c r="AB29" s="81">
        <f t="shared" si="23"/>
        <v>0</v>
      </c>
      <c r="AC29" s="81">
        <f t="shared" si="24"/>
        <v>0</v>
      </c>
      <c r="AD29" s="81">
        <f t="shared" si="25"/>
        <v>0</v>
      </c>
      <c r="AE29" s="81">
        <f t="shared" si="26"/>
        <v>0</v>
      </c>
      <c r="AF29" s="81">
        <f t="shared" si="27"/>
        <v>0</v>
      </c>
      <c r="AG29" s="81">
        <f t="shared" si="28"/>
        <v>0</v>
      </c>
      <c r="AH29" s="81">
        <f t="shared" si="29"/>
        <v>0</v>
      </c>
      <c r="AI29" s="81">
        <f t="shared" si="30"/>
        <v>0</v>
      </c>
      <c r="AJ29" s="81">
        <f t="shared" si="31"/>
        <v>0</v>
      </c>
      <c r="AK29" s="81">
        <f t="shared" si="32"/>
        <v>0</v>
      </c>
    </row>
    <row r="30" spans="1:37">
      <c r="A30" s="421">
        <f t="shared" si="16"/>
        <v>28</v>
      </c>
      <c r="B30" s="331" t="s">
        <v>604</v>
      </c>
      <c r="C30" s="421">
        <v>7</v>
      </c>
      <c r="D30" s="419">
        <f>SUMIFS(SX!U$2:U$19,SX!$B$2:$B$19,'chia CN SX'!$C30)</f>
        <v>0</v>
      </c>
      <c r="E30" s="419">
        <f>SUMIFS(SX!V$2:V$19,SX!$B$2:$B$19,'chia CN SX'!$C30)</f>
        <v>0</v>
      </c>
      <c r="F30" s="419">
        <f>SUMIFS(SX!W$2:W$19,SX!$B$2:$B$19,'chia CN SX'!$C30)</f>
        <v>0</v>
      </c>
      <c r="G30" s="419">
        <f>SUMIFS(SX!X$2:X$19,SX!$B$2:$B$19,'chia CN SX'!$C30)</f>
        <v>233.33333333333334</v>
      </c>
      <c r="H30" s="419">
        <f>SUMIFS(SX!Y$2:Y$19,SX!$B$2:$B$19,'chia CN SX'!$C30)</f>
        <v>0</v>
      </c>
      <c r="I30" s="419">
        <f>SUMIFS(SX!Z$2:Z$19,SX!$B$2:$B$19,'chia CN SX'!$C30)</f>
        <v>0</v>
      </c>
      <c r="J30" s="419">
        <f>SUMIFS(SX!AA$2:AA$19,SX!$B$2:$B$19,'chia CN SX'!$C30)</f>
        <v>0</v>
      </c>
      <c r="K30" s="419">
        <f>SUMIFS(SX!AB$2:AB$19,SX!$B$2:$B$19,'chia CN SX'!$C30)</f>
        <v>0</v>
      </c>
      <c r="L30" s="419">
        <f>SUMIFS(SX!AC$2:AC$19,SX!$B$2:$B$19,'chia CN SX'!$C30)</f>
        <v>0</v>
      </c>
      <c r="M30" s="419">
        <f>SUMIFS(SX!AD$2:AD$19,SX!$B$2:$B$19,'chia CN SX'!$C30)</f>
        <v>0</v>
      </c>
      <c r="N30" s="419">
        <f>SUMIFS(SX!AE$2:AE$19,SX!$B$2:$B$19,'chia CN SX'!$C30)</f>
        <v>0</v>
      </c>
      <c r="O30" s="419">
        <f>SUMIFS(SX!AF$2:AF$19,SX!$B$2:$B$19,'chia CN SX'!$C30)</f>
        <v>0</v>
      </c>
      <c r="P30" s="419">
        <f>SUMIFS(SX!AG$2:AG$19,SX!$B$2:$B$19,'chia CN SX'!$C30)</f>
        <v>0</v>
      </c>
      <c r="Q30" s="419">
        <f>SUMIFS(SX!AH$2:AH$19,SX!$B$2:$B$19,'chia CN SX'!$C30)</f>
        <v>0</v>
      </c>
      <c r="R30" s="419">
        <f>SUMIFS(SX!AI$2:AI$19,SX!$B$2:$B$19,'chia CN SX'!$C30)</f>
        <v>0</v>
      </c>
      <c r="S30" s="419">
        <f>SUMIFS(SX!AJ$2:AJ$19,SX!$B$2:$B$19,'chia CN SX'!$C30)</f>
        <v>0</v>
      </c>
      <c r="V30" s="80" t="e">
        <f>'chia CN boc xe'!U30</f>
        <v>#REF!</v>
      </c>
      <c r="W30" s="81">
        <f t="shared" si="18"/>
        <v>0</v>
      </c>
      <c r="X30" s="81">
        <f t="shared" si="19"/>
        <v>0</v>
      </c>
      <c r="Y30" s="81">
        <f t="shared" si="20"/>
        <v>0</v>
      </c>
      <c r="Z30" s="81">
        <f t="shared" si="21"/>
        <v>0</v>
      </c>
      <c r="AA30" s="81">
        <f t="shared" si="22"/>
        <v>0</v>
      </c>
      <c r="AB30" s="81">
        <f t="shared" si="23"/>
        <v>0</v>
      </c>
      <c r="AC30" s="81">
        <f t="shared" si="24"/>
        <v>0</v>
      </c>
      <c r="AD30" s="81">
        <f t="shared" si="25"/>
        <v>0</v>
      </c>
      <c r="AE30" s="81">
        <f t="shared" si="26"/>
        <v>0</v>
      </c>
      <c r="AF30" s="81">
        <f t="shared" si="27"/>
        <v>0</v>
      </c>
      <c r="AG30" s="81">
        <f t="shared" si="28"/>
        <v>0</v>
      </c>
      <c r="AH30" s="81">
        <f t="shared" si="29"/>
        <v>0</v>
      </c>
      <c r="AI30" s="81">
        <f t="shared" si="30"/>
        <v>0</v>
      </c>
      <c r="AJ30" s="81">
        <f t="shared" si="31"/>
        <v>0</v>
      </c>
      <c r="AK30" s="81">
        <f t="shared" si="32"/>
        <v>0</v>
      </c>
    </row>
    <row r="31" spans="1:37">
      <c r="A31" s="421">
        <f t="shared" si="16"/>
        <v>29</v>
      </c>
      <c r="B31" s="560" t="s">
        <v>625</v>
      </c>
      <c r="C31" s="421">
        <v>7</v>
      </c>
      <c r="D31" s="419">
        <f>SUMIFS(SX!U$2:U$19,SX!$B$2:$B$19,'chia CN SX'!$C31)</f>
        <v>0</v>
      </c>
      <c r="E31" s="419">
        <f>SUMIFS(SX!V$2:V$19,SX!$B$2:$B$19,'chia CN SX'!$C31)</f>
        <v>0</v>
      </c>
      <c r="F31" s="419">
        <f>SUMIFS(SX!W$2:W$19,SX!$B$2:$B$19,'chia CN SX'!$C31)</f>
        <v>0</v>
      </c>
      <c r="G31" s="419">
        <f>SUMIFS(SX!X$2:X$19,SX!$B$2:$B$19,'chia CN SX'!$C31)</f>
        <v>233.33333333333334</v>
      </c>
      <c r="H31" s="419">
        <f>SUMIFS(SX!Y$2:Y$19,SX!$B$2:$B$19,'chia CN SX'!$C31)</f>
        <v>0</v>
      </c>
      <c r="I31" s="419">
        <f>SUMIFS(SX!Z$2:Z$19,SX!$B$2:$B$19,'chia CN SX'!$C31)</f>
        <v>0</v>
      </c>
      <c r="J31" s="419">
        <f>SUMIFS(SX!AA$2:AA$19,SX!$B$2:$B$19,'chia CN SX'!$C31)</f>
        <v>0</v>
      </c>
      <c r="K31" s="419">
        <f>SUMIFS(SX!AB$2:AB$19,SX!$B$2:$B$19,'chia CN SX'!$C31)</f>
        <v>0</v>
      </c>
      <c r="L31" s="419">
        <f>SUMIFS(SX!AC$2:AC$19,SX!$B$2:$B$19,'chia CN SX'!$C31)</f>
        <v>0</v>
      </c>
      <c r="M31" s="419">
        <f>SUMIFS(SX!AD$2:AD$19,SX!$B$2:$B$19,'chia CN SX'!$C31)</f>
        <v>0</v>
      </c>
      <c r="N31" s="419">
        <f>SUMIFS(SX!AE$2:AE$19,SX!$B$2:$B$19,'chia CN SX'!$C31)</f>
        <v>0</v>
      </c>
      <c r="O31" s="419">
        <f>SUMIFS(SX!AF$2:AF$19,SX!$B$2:$B$19,'chia CN SX'!$C31)</f>
        <v>0</v>
      </c>
      <c r="P31" s="419">
        <f>SUMIFS(SX!AG$2:AG$19,SX!$B$2:$B$19,'chia CN SX'!$C31)</f>
        <v>0</v>
      </c>
      <c r="Q31" s="419">
        <f>SUMIFS(SX!AH$2:AH$19,SX!$B$2:$B$19,'chia CN SX'!$C31)</f>
        <v>0</v>
      </c>
      <c r="R31" s="419">
        <f>SUMIFS(SX!AI$2:AI$19,SX!$B$2:$B$19,'chia CN SX'!$C31)</f>
        <v>0</v>
      </c>
      <c r="S31" s="419">
        <f>SUMIFS(SX!AJ$2:AJ$19,SX!$B$2:$B$19,'chia CN SX'!$C31)</f>
        <v>0</v>
      </c>
      <c r="V31" s="80" t="e">
        <f>'chia CN boc xe'!U31</f>
        <v>#REF!</v>
      </c>
      <c r="W31" s="81">
        <f t="shared" si="18"/>
        <v>0</v>
      </c>
      <c r="X31" s="81">
        <f t="shared" si="19"/>
        <v>0</v>
      </c>
      <c r="Y31" s="81">
        <f t="shared" si="20"/>
        <v>0</v>
      </c>
      <c r="Z31" s="81">
        <f t="shared" si="21"/>
        <v>0</v>
      </c>
      <c r="AA31" s="81">
        <f t="shared" si="22"/>
        <v>0</v>
      </c>
      <c r="AB31" s="81">
        <f t="shared" si="23"/>
        <v>0</v>
      </c>
      <c r="AC31" s="81">
        <f t="shared" si="24"/>
        <v>0</v>
      </c>
      <c r="AD31" s="81">
        <f t="shared" si="25"/>
        <v>0</v>
      </c>
      <c r="AE31" s="81">
        <f t="shared" si="26"/>
        <v>0</v>
      </c>
      <c r="AF31" s="81">
        <f t="shared" si="27"/>
        <v>0</v>
      </c>
      <c r="AG31" s="81">
        <f t="shared" si="28"/>
        <v>0</v>
      </c>
      <c r="AH31" s="81">
        <f t="shared" si="29"/>
        <v>0</v>
      </c>
      <c r="AI31" s="81">
        <f t="shared" si="30"/>
        <v>0</v>
      </c>
      <c r="AJ31" s="81">
        <f t="shared" si="31"/>
        <v>0</v>
      </c>
      <c r="AK31" s="81">
        <f t="shared" si="32"/>
        <v>0</v>
      </c>
    </row>
    <row r="32" spans="1:37">
      <c r="A32" s="421">
        <f t="shared" si="16"/>
        <v>30</v>
      </c>
      <c r="B32" s="560" t="s">
        <v>700</v>
      </c>
      <c r="C32" s="421">
        <v>7</v>
      </c>
      <c r="D32" s="419">
        <f>SUMIFS(SX!U$2:U$19,SX!$B$2:$B$19,'chia CN SX'!$C32)</f>
        <v>0</v>
      </c>
      <c r="E32" s="419">
        <f>SUMIFS(SX!V$2:V$19,SX!$B$2:$B$19,'chia CN SX'!$C32)</f>
        <v>0</v>
      </c>
      <c r="F32" s="419">
        <f>SUMIFS(SX!W$2:W$19,SX!$B$2:$B$19,'chia CN SX'!$C32)</f>
        <v>0</v>
      </c>
      <c r="G32" s="419">
        <f>SUMIFS(SX!X$2:X$19,SX!$B$2:$B$19,'chia CN SX'!$C32)</f>
        <v>233.33333333333334</v>
      </c>
      <c r="H32" s="419">
        <f>SUMIFS(SX!Y$2:Y$19,SX!$B$2:$B$19,'chia CN SX'!$C32)</f>
        <v>0</v>
      </c>
      <c r="I32" s="419">
        <f>SUMIFS(SX!Z$2:Z$19,SX!$B$2:$B$19,'chia CN SX'!$C32)</f>
        <v>0</v>
      </c>
      <c r="J32" s="419">
        <f>SUMIFS(SX!AA$2:AA$19,SX!$B$2:$B$19,'chia CN SX'!$C32)</f>
        <v>0</v>
      </c>
      <c r="K32" s="419">
        <f>SUMIFS(SX!AB$2:AB$19,SX!$B$2:$B$19,'chia CN SX'!$C32)</f>
        <v>0</v>
      </c>
      <c r="L32" s="419">
        <f>SUMIFS(SX!AC$2:AC$19,SX!$B$2:$B$19,'chia CN SX'!$C32)</f>
        <v>0</v>
      </c>
      <c r="M32" s="419">
        <f>SUMIFS(SX!AD$2:AD$19,SX!$B$2:$B$19,'chia CN SX'!$C32)</f>
        <v>0</v>
      </c>
      <c r="N32" s="419">
        <f>SUMIFS(SX!AE$2:AE$19,SX!$B$2:$B$19,'chia CN SX'!$C32)</f>
        <v>0</v>
      </c>
      <c r="O32" s="419">
        <f>SUMIFS(SX!AF$2:AF$19,SX!$B$2:$B$19,'chia CN SX'!$C32)</f>
        <v>0</v>
      </c>
      <c r="P32" s="419">
        <f>SUMIFS(SX!AG$2:AG$19,SX!$B$2:$B$19,'chia CN SX'!$C32)</f>
        <v>0</v>
      </c>
      <c r="Q32" s="419">
        <f>SUMIFS(SX!AH$2:AH$19,SX!$B$2:$B$19,'chia CN SX'!$C32)</f>
        <v>0</v>
      </c>
      <c r="R32" s="419">
        <f>SUMIFS(SX!AI$2:AI$19,SX!$B$2:$B$19,'chia CN SX'!$C32)</f>
        <v>0</v>
      </c>
      <c r="S32" s="419">
        <f>SUMIFS(SX!AJ$2:AJ$19,SX!$B$2:$B$19,'chia CN SX'!$C32)</f>
        <v>0</v>
      </c>
      <c r="V32" s="545" t="e">
        <f>'chia CN boc xe'!U32</f>
        <v>#REF!</v>
      </c>
      <c r="W32" s="81">
        <f t="shared" si="18"/>
        <v>0</v>
      </c>
      <c r="X32" s="81">
        <f t="shared" si="19"/>
        <v>0</v>
      </c>
      <c r="Y32" s="81">
        <f t="shared" si="20"/>
        <v>0</v>
      </c>
      <c r="Z32" s="81">
        <f t="shared" si="21"/>
        <v>0</v>
      </c>
      <c r="AA32" s="81">
        <f t="shared" si="22"/>
        <v>0</v>
      </c>
      <c r="AB32" s="81">
        <f t="shared" si="23"/>
        <v>0</v>
      </c>
      <c r="AC32" s="81">
        <f t="shared" si="24"/>
        <v>0</v>
      </c>
      <c r="AD32" s="81">
        <f t="shared" si="25"/>
        <v>0</v>
      </c>
      <c r="AE32" s="81">
        <f t="shared" si="26"/>
        <v>0</v>
      </c>
      <c r="AF32" s="81">
        <f t="shared" si="27"/>
        <v>0</v>
      </c>
      <c r="AG32" s="81">
        <f t="shared" si="28"/>
        <v>0</v>
      </c>
      <c r="AH32" s="81">
        <f t="shared" si="29"/>
        <v>0</v>
      </c>
      <c r="AI32" s="81">
        <f t="shared" si="30"/>
        <v>0</v>
      </c>
      <c r="AJ32" s="81">
        <f t="shared" si="31"/>
        <v>0</v>
      </c>
      <c r="AK32" s="81">
        <f t="shared" si="32"/>
        <v>0</v>
      </c>
    </row>
    <row r="33" spans="1:37">
      <c r="A33" s="421">
        <f t="shared" si="16"/>
        <v>31</v>
      </c>
      <c r="B33" s="560"/>
      <c r="C33" s="421"/>
      <c r="D33" s="419">
        <f>SUMIFS(SX!U$2:U$19,SX!$B$2:$B$19,'chia CN SX'!$C33)</f>
        <v>0</v>
      </c>
      <c r="E33" s="419">
        <f>SUMIFS(SX!V$2:V$19,SX!$B$2:$B$19,'chia CN SX'!$C33)</f>
        <v>0</v>
      </c>
      <c r="F33" s="419">
        <f>SUMIFS(SX!W$2:W$19,SX!$B$2:$B$19,'chia CN SX'!$C33)</f>
        <v>0</v>
      </c>
      <c r="G33" s="419">
        <f>SUMIFS(SX!X$2:X$19,SX!$B$2:$B$19,'chia CN SX'!$C33)</f>
        <v>0</v>
      </c>
      <c r="H33" s="419">
        <f>SUMIFS(SX!Y$2:Y$19,SX!$B$2:$B$19,'chia CN SX'!$C33)</f>
        <v>0</v>
      </c>
      <c r="I33" s="419">
        <f>SUMIFS(SX!Z$2:Z$19,SX!$B$2:$B$19,'chia CN SX'!$C33)</f>
        <v>0</v>
      </c>
      <c r="J33" s="419">
        <f>SUMIFS(SX!AA$2:AA$19,SX!$B$2:$B$19,'chia CN SX'!$C33)</f>
        <v>0</v>
      </c>
      <c r="K33" s="419">
        <f>SUMIFS(SX!AB$2:AB$19,SX!$B$2:$B$19,'chia CN SX'!$C33)</f>
        <v>0</v>
      </c>
      <c r="L33" s="419">
        <f>SUMIFS(SX!AC$2:AC$19,SX!$B$2:$B$19,'chia CN SX'!$C33)</f>
        <v>0</v>
      </c>
      <c r="M33" s="419">
        <f>SUMIFS(SX!AD$2:AD$19,SX!$B$2:$B$19,'chia CN SX'!$C33)</f>
        <v>0</v>
      </c>
      <c r="N33" s="419">
        <f>SUMIFS(SX!AE$2:AE$19,SX!$B$2:$B$19,'chia CN SX'!$C33)</f>
        <v>0</v>
      </c>
      <c r="O33" s="419">
        <f>SUMIFS(SX!AF$2:AF$19,SX!$B$2:$B$19,'chia CN SX'!$C33)</f>
        <v>0</v>
      </c>
      <c r="P33" s="419">
        <f>SUMIFS(SX!AG$2:AG$19,SX!$B$2:$B$19,'chia CN SX'!$C33)</f>
        <v>0</v>
      </c>
      <c r="Q33" s="419">
        <f>SUMIFS(SX!AH$2:AH$19,SX!$B$2:$B$19,'chia CN SX'!$C33)</f>
        <v>0</v>
      </c>
      <c r="R33" s="419">
        <f>SUMIFS(SX!AI$2:AI$19,SX!$B$2:$B$19,'chia CN SX'!$C33)</f>
        <v>0</v>
      </c>
      <c r="S33" s="419">
        <f>SUMIFS(SX!AJ$2:AJ$19,SX!$B$2:$B$19,'chia CN SX'!$C33)</f>
        <v>0</v>
      </c>
      <c r="V33" s="546" t="e">
        <f>'chia CN boc xe'!U33</f>
        <v>#REF!</v>
      </c>
      <c r="W33" s="81">
        <f t="shared" si="18"/>
        <v>0</v>
      </c>
      <c r="X33" s="81">
        <f t="shared" si="19"/>
        <v>0</v>
      </c>
      <c r="Y33" s="81">
        <f t="shared" si="20"/>
        <v>0</v>
      </c>
      <c r="Z33" s="81">
        <f t="shared" si="21"/>
        <v>0</v>
      </c>
      <c r="AA33" s="81">
        <f t="shared" si="22"/>
        <v>0</v>
      </c>
      <c r="AB33" s="81">
        <f t="shared" si="23"/>
        <v>0</v>
      </c>
      <c r="AC33" s="81">
        <f t="shared" si="24"/>
        <v>0</v>
      </c>
      <c r="AD33" s="81">
        <f t="shared" si="25"/>
        <v>0</v>
      </c>
      <c r="AE33" s="81">
        <f t="shared" si="26"/>
        <v>0</v>
      </c>
      <c r="AF33" s="81">
        <f t="shared" si="27"/>
        <v>0</v>
      </c>
      <c r="AG33" s="81">
        <f t="shared" si="28"/>
        <v>0</v>
      </c>
      <c r="AH33" s="81">
        <f t="shared" si="29"/>
        <v>0</v>
      </c>
      <c r="AI33" s="81">
        <f t="shared" si="30"/>
        <v>0</v>
      </c>
      <c r="AJ33" s="81">
        <f t="shared" si="31"/>
        <v>0</v>
      </c>
      <c r="AK33" s="81">
        <f t="shared" si="32"/>
        <v>0</v>
      </c>
    </row>
    <row r="34" spans="1:37">
      <c r="A34" s="421">
        <f t="shared" si="16"/>
        <v>32</v>
      </c>
      <c r="B34" s="331"/>
      <c r="C34" s="421"/>
      <c r="D34" s="419">
        <f>SUMIFS(SX!U$2:U$19,SX!$B$2:$B$19,'chia CN SX'!$C34)</f>
        <v>0</v>
      </c>
      <c r="E34" s="419">
        <f>SUMIFS(SX!V$2:V$19,SX!$B$2:$B$19,'chia CN SX'!$C34)</f>
        <v>0</v>
      </c>
      <c r="F34" s="419">
        <f>SUMIFS(SX!W$2:W$19,SX!$B$2:$B$19,'chia CN SX'!$C34)</f>
        <v>0</v>
      </c>
      <c r="G34" s="419">
        <f>SUMIFS(SX!X$2:X$19,SX!$B$2:$B$19,'chia CN SX'!$C34)</f>
        <v>0</v>
      </c>
      <c r="H34" s="419">
        <f>SUMIFS(SX!Y$2:Y$19,SX!$B$2:$B$19,'chia CN SX'!$C34)</f>
        <v>0</v>
      </c>
      <c r="I34" s="419">
        <f>SUMIFS(SX!Z$2:Z$19,SX!$B$2:$B$19,'chia CN SX'!$C34)</f>
        <v>0</v>
      </c>
      <c r="J34" s="419">
        <f>SUMIFS(SX!AA$2:AA$19,SX!$B$2:$B$19,'chia CN SX'!$C34)</f>
        <v>0</v>
      </c>
      <c r="K34" s="419">
        <f>SUMIFS(SX!AB$2:AB$19,SX!$B$2:$B$19,'chia CN SX'!$C34)</f>
        <v>0</v>
      </c>
      <c r="L34" s="419">
        <f>SUMIFS(SX!AC$2:AC$19,SX!$B$2:$B$19,'chia CN SX'!$C34)</f>
        <v>0</v>
      </c>
      <c r="M34" s="419">
        <f>SUMIFS(SX!AD$2:AD$19,SX!$B$2:$B$19,'chia CN SX'!$C34)</f>
        <v>0</v>
      </c>
      <c r="N34" s="419">
        <f>SUMIFS(SX!AE$2:AE$19,SX!$B$2:$B$19,'chia CN SX'!$C34)</f>
        <v>0</v>
      </c>
      <c r="O34" s="419">
        <f>SUMIFS(SX!AF$2:AF$19,SX!$B$2:$B$19,'chia CN SX'!$C34)</f>
        <v>0</v>
      </c>
      <c r="P34" s="419">
        <f>SUMIFS(SX!AG$2:AG$19,SX!$B$2:$B$19,'chia CN SX'!$C34)</f>
        <v>0</v>
      </c>
      <c r="Q34" s="419">
        <f>SUMIFS(SX!AH$2:AH$19,SX!$B$2:$B$19,'chia CN SX'!$C34)</f>
        <v>0</v>
      </c>
      <c r="R34" s="419">
        <f>SUMIFS(SX!AI$2:AI$19,SX!$B$2:$B$19,'chia CN SX'!$C34)</f>
        <v>0</v>
      </c>
      <c r="S34" s="419">
        <f>SUMIFS(SX!AJ$2:AJ$19,SX!$B$2:$B$19,'chia CN SX'!$C34)</f>
        <v>0</v>
      </c>
      <c r="V34" s="80" t="str">
        <f>'chia CN boc xe'!U34</f>
        <v>Kim Em</v>
      </c>
      <c r="W34" s="81">
        <f t="shared" ref="W34:W39" si="33">SUMIF($B$3:$B$114,$V34,D$3:D$114)</f>
        <v>0</v>
      </c>
      <c r="X34" s="81">
        <f t="shared" si="19"/>
        <v>0</v>
      </c>
      <c r="Y34" s="81">
        <f t="shared" si="20"/>
        <v>0</v>
      </c>
      <c r="Z34" s="81">
        <f t="shared" si="21"/>
        <v>0</v>
      </c>
      <c r="AA34" s="81">
        <f t="shared" si="22"/>
        <v>0</v>
      </c>
      <c r="AB34" s="81">
        <f t="shared" si="23"/>
        <v>0</v>
      </c>
      <c r="AC34" s="81">
        <f t="shared" si="24"/>
        <v>0</v>
      </c>
      <c r="AD34" s="81">
        <f t="shared" si="25"/>
        <v>0</v>
      </c>
      <c r="AE34" s="81">
        <f t="shared" si="26"/>
        <v>0</v>
      </c>
      <c r="AF34" s="81">
        <f t="shared" si="27"/>
        <v>0</v>
      </c>
      <c r="AG34" s="81">
        <f t="shared" si="28"/>
        <v>0</v>
      </c>
      <c r="AH34" s="81">
        <f t="shared" si="29"/>
        <v>0</v>
      </c>
      <c r="AI34" s="81">
        <f t="shared" si="30"/>
        <v>0</v>
      </c>
      <c r="AJ34" s="81">
        <f t="shared" si="31"/>
        <v>0</v>
      </c>
      <c r="AK34" s="81">
        <f t="shared" si="32"/>
        <v>0</v>
      </c>
    </row>
    <row r="35" spans="1:37">
      <c r="A35" s="421">
        <f t="shared" si="16"/>
        <v>33</v>
      </c>
      <c r="B35" s="561"/>
      <c r="C35" s="421"/>
      <c r="D35" s="419">
        <f>SUMIFS(SX!U$2:U$19,SX!$B$2:$B$19,'chia CN SX'!$C35)</f>
        <v>0</v>
      </c>
      <c r="E35" s="419">
        <f>SUMIFS(SX!V$2:V$19,SX!$B$2:$B$19,'chia CN SX'!$C35)</f>
        <v>0</v>
      </c>
      <c r="F35" s="419">
        <f>SUMIFS(SX!W$2:W$19,SX!$B$2:$B$19,'chia CN SX'!$C35)</f>
        <v>0</v>
      </c>
      <c r="G35" s="419">
        <f>SUMIFS(SX!X$2:X$19,SX!$B$2:$B$19,'chia CN SX'!$C35)</f>
        <v>0</v>
      </c>
      <c r="H35" s="419">
        <f>SUMIFS(SX!Y$2:Y$19,SX!$B$2:$B$19,'chia CN SX'!$C35)</f>
        <v>0</v>
      </c>
      <c r="I35" s="419">
        <f>SUMIFS(SX!Z$2:Z$19,SX!$B$2:$B$19,'chia CN SX'!$C35)</f>
        <v>0</v>
      </c>
      <c r="J35" s="419">
        <f>SUMIFS(SX!AA$2:AA$19,SX!$B$2:$B$19,'chia CN SX'!$C35)</f>
        <v>0</v>
      </c>
      <c r="K35" s="419">
        <f>SUMIFS(SX!AB$2:AB$19,SX!$B$2:$B$19,'chia CN SX'!$C35)</f>
        <v>0</v>
      </c>
      <c r="L35" s="419">
        <f>SUMIFS(SX!AC$2:AC$19,SX!$B$2:$B$19,'chia CN SX'!$C35)</f>
        <v>0</v>
      </c>
      <c r="M35" s="419">
        <f>SUMIFS(SX!AD$2:AD$19,SX!$B$2:$B$19,'chia CN SX'!$C35)</f>
        <v>0</v>
      </c>
      <c r="N35" s="419">
        <f>SUMIFS(SX!AE$2:AE$19,SX!$B$2:$B$19,'chia CN SX'!$C35)</f>
        <v>0</v>
      </c>
      <c r="O35" s="419">
        <f>SUMIFS(SX!AF$2:AF$19,SX!$B$2:$B$19,'chia CN SX'!$C35)</f>
        <v>0</v>
      </c>
      <c r="P35" s="419">
        <f>SUMIFS(SX!AG$2:AG$19,SX!$B$2:$B$19,'chia CN SX'!$C35)</f>
        <v>0</v>
      </c>
      <c r="Q35" s="419">
        <f>SUMIFS(SX!AH$2:AH$19,SX!$B$2:$B$19,'chia CN SX'!$C35)</f>
        <v>0</v>
      </c>
      <c r="R35" s="419">
        <f>SUMIFS(SX!AI$2:AI$19,SX!$B$2:$B$19,'chia CN SX'!$C35)</f>
        <v>0</v>
      </c>
      <c r="S35" s="419">
        <f>SUMIFS(SX!AJ$2:AJ$19,SX!$B$2:$B$19,'chia CN SX'!$C35)</f>
        <v>0</v>
      </c>
      <c r="V35" s="545" t="e">
        <f>'chia CN boc xe'!U35</f>
        <v>#REF!</v>
      </c>
      <c r="W35" s="81">
        <f t="shared" si="33"/>
        <v>0</v>
      </c>
      <c r="X35" s="81">
        <f t="shared" ref="X35:X72" si="34">SUMIF($B$3:$B$114,$V35,E$3:E$114)</f>
        <v>0</v>
      </c>
      <c r="Y35" s="81">
        <f t="shared" ref="Y35:Y72" si="35">SUMIF($B$3:$B$114,$V35,F$3:F$114)</f>
        <v>0</v>
      </c>
      <c r="Z35" s="81">
        <f t="shared" ref="Z35:Z72" si="36">SUMIF($B$3:$B$114,$V35,G$3:G$114)</f>
        <v>0</v>
      </c>
      <c r="AA35" s="81">
        <f t="shared" ref="AA35:AA72" si="37">SUMIF($B$3:$B$114,$V35,H$3:H$114)</f>
        <v>0</v>
      </c>
      <c r="AB35" s="81">
        <f t="shared" ref="AB35:AB72" si="38">SUMIF($B$3:$B$114,$V35,I$3:I$114)</f>
        <v>0</v>
      </c>
      <c r="AC35" s="81">
        <f t="shared" ref="AC35:AC72" si="39">SUMIF($B$3:$B$114,$V35,J$3:J$114)</f>
        <v>0</v>
      </c>
      <c r="AD35" s="81">
        <f t="shared" ref="AD35:AD72" si="40">SUMIF($B$3:$B$114,$V35,K$3:K$114)</f>
        <v>0</v>
      </c>
      <c r="AE35" s="81">
        <f t="shared" ref="AE35:AE72" si="41">SUMIF($B$3:$B$114,$V35,L$3:L$114)</f>
        <v>0</v>
      </c>
      <c r="AF35" s="81">
        <f t="shared" ref="AF35:AF72" si="42">SUMIF($B$3:$B$114,$V35,M$3:M$114)</f>
        <v>0</v>
      </c>
      <c r="AG35" s="81">
        <f t="shared" ref="AG35:AG72" si="43">SUMIF($B$3:$B$114,$V35,N$3:N$114)</f>
        <v>0</v>
      </c>
      <c r="AH35" s="81">
        <f t="shared" ref="AH35:AH72" si="44">SUMIF($B$3:$B$114,$V35,O$3:O$114)</f>
        <v>0</v>
      </c>
      <c r="AI35" s="81">
        <f t="shared" ref="AI35:AI72" si="45">SUMIF($B$3:$B$114,$V35,P$3:P$114)</f>
        <v>0</v>
      </c>
      <c r="AJ35" s="81">
        <f t="shared" ref="AJ35:AJ72" si="46">SUMIF($B$3:$B$114,$V35,Q$3:Q$114)</f>
        <v>0</v>
      </c>
      <c r="AK35" s="81">
        <f t="shared" ref="AK35:AK72" si="47">SUMIF($B$3:$B$114,$V35,R$3:R$114)</f>
        <v>0</v>
      </c>
    </row>
    <row r="36" spans="1:37">
      <c r="A36" s="421">
        <f t="shared" si="16"/>
        <v>34</v>
      </c>
      <c r="B36" s="560"/>
      <c r="C36" s="421"/>
      <c r="D36" s="419">
        <f>SUMIFS(SX!U$2:U$19,SX!$B$2:$B$19,'chia CN SX'!$C36)</f>
        <v>0</v>
      </c>
      <c r="E36" s="419">
        <f>SUMIFS(SX!V$2:V$19,SX!$B$2:$B$19,'chia CN SX'!$C36)</f>
        <v>0</v>
      </c>
      <c r="F36" s="419">
        <f>SUMIFS(SX!W$2:W$19,SX!$B$2:$B$19,'chia CN SX'!$C36)</f>
        <v>0</v>
      </c>
      <c r="G36" s="419">
        <f>SUMIFS(SX!X$2:X$19,SX!$B$2:$B$19,'chia CN SX'!$C36)</f>
        <v>0</v>
      </c>
      <c r="H36" s="419">
        <f>SUMIFS(SX!Y$2:Y$19,SX!$B$2:$B$19,'chia CN SX'!$C36)</f>
        <v>0</v>
      </c>
      <c r="I36" s="419">
        <f>SUMIFS(SX!Z$2:Z$19,SX!$B$2:$B$19,'chia CN SX'!$C36)</f>
        <v>0</v>
      </c>
      <c r="J36" s="419">
        <f>SUMIFS(SX!AA$2:AA$19,SX!$B$2:$B$19,'chia CN SX'!$C36)</f>
        <v>0</v>
      </c>
      <c r="K36" s="419">
        <f>SUMIFS(SX!AB$2:AB$19,SX!$B$2:$B$19,'chia CN SX'!$C36)</f>
        <v>0</v>
      </c>
      <c r="L36" s="419">
        <f>SUMIFS(SX!AC$2:AC$19,SX!$B$2:$B$19,'chia CN SX'!$C36)</f>
        <v>0</v>
      </c>
      <c r="M36" s="419">
        <f>SUMIFS(SX!AD$2:AD$19,SX!$B$2:$B$19,'chia CN SX'!$C36)</f>
        <v>0</v>
      </c>
      <c r="N36" s="419">
        <f>SUMIFS(SX!AE$2:AE$19,SX!$B$2:$B$19,'chia CN SX'!$C36)</f>
        <v>0</v>
      </c>
      <c r="O36" s="419">
        <f>SUMIFS(SX!AF$2:AF$19,SX!$B$2:$B$19,'chia CN SX'!$C36)</f>
        <v>0</v>
      </c>
      <c r="P36" s="419">
        <f>SUMIFS(SX!AG$2:AG$19,SX!$B$2:$B$19,'chia CN SX'!$C36)</f>
        <v>0</v>
      </c>
      <c r="Q36" s="419">
        <f>SUMIFS(SX!AH$2:AH$19,SX!$B$2:$B$19,'chia CN SX'!$C36)</f>
        <v>0</v>
      </c>
      <c r="R36" s="419">
        <f>SUMIFS(SX!AI$2:AI$19,SX!$B$2:$B$19,'chia CN SX'!$C36)</f>
        <v>0</v>
      </c>
      <c r="S36" s="419">
        <f>SUMIFS(SX!AJ$2:AJ$19,SX!$B$2:$B$19,'chia CN SX'!$C36)</f>
        <v>0</v>
      </c>
      <c r="V36" s="545" t="e">
        <f>'chia CN boc xe'!U36</f>
        <v>#REF!</v>
      </c>
      <c r="W36" s="81">
        <f t="shared" si="33"/>
        <v>0</v>
      </c>
      <c r="X36" s="81">
        <f t="shared" si="34"/>
        <v>0</v>
      </c>
      <c r="Y36" s="81">
        <f t="shared" si="35"/>
        <v>0</v>
      </c>
      <c r="Z36" s="81">
        <f t="shared" si="36"/>
        <v>0</v>
      </c>
      <c r="AA36" s="81">
        <f t="shared" si="37"/>
        <v>0</v>
      </c>
      <c r="AB36" s="81">
        <f t="shared" si="38"/>
        <v>0</v>
      </c>
      <c r="AC36" s="81">
        <f t="shared" si="39"/>
        <v>0</v>
      </c>
      <c r="AD36" s="81">
        <f t="shared" si="40"/>
        <v>0</v>
      </c>
      <c r="AE36" s="81">
        <f t="shared" si="41"/>
        <v>0</v>
      </c>
      <c r="AF36" s="81">
        <f t="shared" si="42"/>
        <v>0</v>
      </c>
      <c r="AG36" s="81">
        <f t="shared" si="43"/>
        <v>0</v>
      </c>
      <c r="AH36" s="81">
        <f t="shared" si="44"/>
        <v>0</v>
      </c>
      <c r="AI36" s="81">
        <f t="shared" si="45"/>
        <v>0</v>
      </c>
      <c r="AJ36" s="81">
        <f t="shared" si="46"/>
        <v>0</v>
      </c>
      <c r="AK36" s="81">
        <f t="shared" si="47"/>
        <v>0</v>
      </c>
    </row>
    <row r="37" spans="1:37">
      <c r="A37" s="421">
        <f t="shared" si="16"/>
        <v>35</v>
      </c>
      <c r="B37" s="560"/>
      <c r="C37" s="421"/>
      <c r="D37" s="419">
        <f>SUMIFS(SX!U$2:U$19,SX!$B$2:$B$19,'chia CN SX'!$C37)</f>
        <v>0</v>
      </c>
      <c r="E37" s="419">
        <f>SUMIFS(SX!V$2:V$19,SX!$B$2:$B$19,'chia CN SX'!$C37)</f>
        <v>0</v>
      </c>
      <c r="F37" s="419">
        <f>SUMIFS(SX!W$2:W$19,SX!$B$2:$B$19,'chia CN SX'!$C37)</f>
        <v>0</v>
      </c>
      <c r="G37" s="419">
        <f>SUMIFS(SX!X$2:X$19,SX!$B$2:$B$19,'chia CN SX'!$C37)</f>
        <v>0</v>
      </c>
      <c r="H37" s="419">
        <f>SUMIFS(SX!Y$2:Y$19,SX!$B$2:$B$19,'chia CN SX'!$C37)</f>
        <v>0</v>
      </c>
      <c r="I37" s="419">
        <f>SUMIFS(SX!Z$2:Z$19,SX!$B$2:$B$19,'chia CN SX'!$C37)</f>
        <v>0</v>
      </c>
      <c r="J37" s="419">
        <f>SUMIFS(SX!AA$2:AA$19,SX!$B$2:$B$19,'chia CN SX'!$C37)</f>
        <v>0</v>
      </c>
      <c r="K37" s="419">
        <f>SUMIFS(SX!AB$2:AB$19,SX!$B$2:$B$19,'chia CN SX'!$C37)</f>
        <v>0</v>
      </c>
      <c r="L37" s="419">
        <f>SUMIFS(SX!AC$2:AC$19,SX!$B$2:$B$19,'chia CN SX'!$C37)</f>
        <v>0</v>
      </c>
      <c r="M37" s="419">
        <f>SUMIFS(SX!AD$2:AD$19,SX!$B$2:$B$19,'chia CN SX'!$C37)</f>
        <v>0</v>
      </c>
      <c r="N37" s="419">
        <f>SUMIFS(SX!AE$2:AE$19,SX!$B$2:$B$19,'chia CN SX'!$C37)</f>
        <v>0</v>
      </c>
      <c r="O37" s="419">
        <f>SUMIFS(SX!AF$2:AF$19,SX!$B$2:$B$19,'chia CN SX'!$C37)</f>
        <v>0</v>
      </c>
      <c r="P37" s="419">
        <f>SUMIFS(SX!AG$2:AG$19,SX!$B$2:$B$19,'chia CN SX'!$C37)</f>
        <v>0</v>
      </c>
      <c r="Q37" s="419">
        <f>SUMIFS(SX!AH$2:AH$19,SX!$B$2:$B$19,'chia CN SX'!$C37)</f>
        <v>0</v>
      </c>
      <c r="R37" s="419">
        <f>SUMIFS(SX!AI$2:AI$19,SX!$B$2:$B$19,'chia CN SX'!$C37)</f>
        <v>0</v>
      </c>
      <c r="S37" s="419">
        <f>SUMIFS(SX!AJ$2:AJ$19,SX!$B$2:$B$19,'chia CN SX'!$C37)</f>
        <v>0</v>
      </c>
      <c r="V37" s="545" t="e">
        <f>'chia CN boc xe'!U37</f>
        <v>#REF!</v>
      </c>
      <c r="W37" s="81">
        <f t="shared" si="33"/>
        <v>0</v>
      </c>
      <c r="X37" s="81">
        <f t="shared" si="34"/>
        <v>0</v>
      </c>
      <c r="Y37" s="81">
        <f t="shared" si="35"/>
        <v>0</v>
      </c>
      <c r="Z37" s="81">
        <f t="shared" si="36"/>
        <v>0</v>
      </c>
      <c r="AA37" s="81">
        <f t="shared" si="37"/>
        <v>0</v>
      </c>
      <c r="AB37" s="81">
        <f t="shared" si="38"/>
        <v>0</v>
      </c>
      <c r="AC37" s="81">
        <f t="shared" si="39"/>
        <v>0</v>
      </c>
      <c r="AD37" s="81">
        <f t="shared" si="40"/>
        <v>0</v>
      </c>
      <c r="AE37" s="81">
        <f t="shared" si="41"/>
        <v>0</v>
      </c>
      <c r="AF37" s="81">
        <f t="shared" si="42"/>
        <v>0</v>
      </c>
      <c r="AG37" s="81">
        <f t="shared" si="43"/>
        <v>0</v>
      </c>
      <c r="AH37" s="81">
        <f t="shared" si="44"/>
        <v>0</v>
      </c>
      <c r="AI37" s="81">
        <f t="shared" si="45"/>
        <v>0</v>
      </c>
      <c r="AJ37" s="81">
        <f t="shared" si="46"/>
        <v>0</v>
      </c>
      <c r="AK37" s="81">
        <f t="shared" si="47"/>
        <v>0</v>
      </c>
    </row>
    <row r="38" spans="1:37">
      <c r="A38" s="421">
        <f t="shared" si="16"/>
        <v>36</v>
      </c>
      <c r="B38" s="331"/>
      <c r="C38" s="421"/>
      <c r="D38" s="419">
        <f>SUMIFS(SX!U$2:U$19,SX!$B$2:$B$19,'chia CN SX'!$C38)</f>
        <v>0</v>
      </c>
      <c r="E38" s="419">
        <f>SUMIFS(SX!V$2:V$19,SX!$B$2:$B$19,'chia CN SX'!$C38)</f>
        <v>0</v>
      </c>
      <c r="F38" s="419">
        <f>SUMIFS(SX!W$2:W$19,SX!$B$2:$B$19,'chia CN SX'!$C38)</f>
        <v>0</v>
      </c>
      <c r="G38" s="419">
        <f>SUMIFS(SX!X$2:X$19,SX!$B$2:$B$19,'chia CN SX'!$C38)</f>
        <v>0</v>
      </c>
      <c r="H38" s="419">
        <f>SUMIFS(SX!Y$2:Y$19,SX!$B$2:$B$19,'chia CN SX'!$C38)</f>
        <v>0</v>
      </c>
      <c r="I38" s="419">
        <f>SUMIFS(SX!Z$2:Z$19,SX!$B$2:$B$19,'chia CN SX'!$C38)</f>
        <v>0</v>
      </c>
      <c r="J38" s="419">
        <f>SUMIFS(SX!AA$2:AA$19,SX!$B$2:$B$19,'chia CN SX'!$C38)</f>
        <v>0</v>
      </c>
      <c r="K38" s="419">
        <f>SUMIFS(SX!AB$2:AB$19,SX!$B$2:$B$19,'chia CN SX'!$C38)</f>
        <v>0</v>
      </c>
      <c r="L38" s="419">
        <f>SUMIFS(SX!AC$2:AC$19,SX!$B$2:$B$19,'chia CN SX'!$C38)</f>
        <v>0</v>
      </c>
      <c r="M38" s="419">
        <f>SUMIFS(SX!AD$2:AD$19,SX!$B$2:$B$19,'chia CN SX'!$C38)</f>
        <v>0</v>
      </c>
      <c r="N38" s="419">
        <f>SUMIFS(SX!AE$2:AE$19,SX!$B$2:$B$19,'chia CN SX'!$C38)</f>
        <v>0</v>
      </c>
      <c r="O38" s="419">
        <f>SUMIFS(SX!AF$2:AF$19,SX!$B$2:$B$19,'chia CN SX'!$C38)</f>
        <v>0</v>
      </c>
      <c r="P38" s="419">
        <f>SUMIFS(SX!AG$2:AG$19,SX!$B$2:$B$19,'chia CN SX'!$C38)</f>
        <v>0</v>
      </c>
      <c r="Q38" s="419">
        <f>SUMIFS(SX!AH$2:AH$19,SX!$B$2:$B$19,'chia CN SX'!$C38)</f>
        <v>0</v>
      </c>
      <c r="R38" s="419">
        <f>SUMIFS(SX!AI$2:AI$19,SX!$B$2:$B$19,'chia CN SX'!$C38)</f>
        <v>0</v>
      </c>
      <c r="S38" s="419">
        <f>SUMIFS(SX!AJ$2:AJ$19,SX!$B$2:$B$19,'chia CN SX'!$C38)</f>
        <v>0</v>
      </c>
      <c r="V38" s="546" t="e">
        <f>'chia CN boc xe'!U38</f>
        <v>#REF!</v>
      </c>
      <c r="W38" s="81">
        <f t="shared" si="33"/>
        <v>0</v>
      </c>
      <c r="X38" s="81">
        <f t="shared" si="34"/>
        <v>0</v>
      </c>
      <c r="Y38" s="81">
        <f t="shared" si="35"/>
        <v>0</v>
      </c>
      <c r="Z38" s="81">
        <f t="shared" si="36"/>
        <v>0</v>
      </c>
      <c r="AA38" s="81">
        <f t="shared" si="37"/>
        <v>0</v>
      </c>
      <c r="AB38" s="81">
        <f t="shared" si="38"/>
        <v>0</v>
      </c>
      <c r="AC38" s="81">
        <f t="shared" si="39"/>
        <v>0</v>
      </c>
      <c r="AD38" s="81">
        <f t="shared" si="40"/>
        <v>0</v>
      </c>
      <c r="AE38" s="81">
        <f t="shared" si="41"/>
        <v>0</v>
      </c>
      <c r="AF38" s="81">
        <f t="shared" si="42"/>
        <v>0</v>
      </c>
      <c r="AG38" s="81">
        <f t="shared" si="43"/>
        <v>0</v>
      </c>
      <c r="AH38" s="81">
        <f t="shared" si="44"/>
        <v>0</v>
      </c>
      <c r="AI38" s="81">
        <f t="shared" si="45"/>
        <v>0</v>
      </c>
      <c r="AJ38" s="81">
        <f t="shared" si="46"/>
        <v>0</v>
      </c>
      <c r="AK38" s="81">
        <f t="shared" si="47"/>
        <v>0</v>
      </c>
    </row>
    <row r="39" spans="1:37">
      <c r="A39" s="421">
        <f t="shared" si="16"/>
        <v>37</v>
      </c>
      <c r="B39" s="560"/>
      <c r="C39" s="421"/>
      <c r="D39" s="419">
        <f>SUMIFS(SX!U$2:U$19,SX!$B$2:$B$19,'chia CN SX'!$C39)</f>
        <v>0</v>
      </c>
      <c r="E39" s="419">
        <f>SUMIFS(SX!V$2:V$19,SX!$B$2:$B$19,'chia CN SX'!$C39)</f>
        <v>0</v>
      </c>
      <c r="F39" s="419">
        <f>SUMIFS(SX!W$2:W$19,SX!$B$2:$B$19,'chia CN SX'!$C39)</f>
        <v>0</v>
      </c>
      <c r="G39" s="419">
        <f>SUMIFS(SX!X$2:X$19,SX!$B$2:$B$19,'chia CN SX'!$C39)</f>
        <v>0</v>
      </c>
      <c r="H39" s="419">
        <f>SUMIFS(SX!Y$2:Y$19,SX!$B$2:$B$19,'chia CN SX'!$C39)</f>
        <v>0</v>
      </c>
      <c r="I39" s="419">
        <f>SUMIFS(SX!Z$2:Z$19,SX!$B$2:$B$19,'chia CN SX'!$C39)</f>
        <v>0</v>
      </c>
      <c r="J39" s="419">
        <f>SUMIFS(SX!AA$2:AA$19,SX!$B$2:$B$19,'chia CN SX'!$C39)</f>
        <v>0</v>
      </c>
      <c r="K39" s="419">
        <f>SUMIFS(SX!AB$2:AB$19,SX!$B$2:$B$19,'chia CN SX'!$C39)</f>
        <v>0</v>
      </c>
      <c r="L39" s="419">
        <f>SUMIFS(SX!AC$2:AC$19,SX!$B$2:$B$19,'chia CN SX'!$C39)</f>
        <v>0</v>
      </c>
      <c r="M39" s="419">
        <f>SUMIFS(SX!AD$2:AD$19,SX!$B$2:$B$19,'chia CN SX'!$C39)</f>
        <v>0</v>
      </c>
      <c r="N39" s="419">
        <f>SUMIFS(SX!AE$2:AE$19,SX!$B$2:$B$19,'chia CN SX'!$C39)</f>
        <v>0</v>
      </c>
      <c r="O39" s="419">
        <f>SUMIFS(SX!AF$2:AF$19,SX!$B$2:$B$19,'chia CN SX'!$C39)</f>
        <v>0</v>
      </c>
      <c r="P39" s="419">
        <f>SUMIFS(SX!AG$2:AG$19,SX!$B$2:$B$19,'chia CN SX'!$C39)</f>
        <v>0</v>
      </c>
      <c r="Q39" s="419">
        <f>SUMIFS(SX!AH$2:AH$19,SX!$B$2:$B$19,'chia CN SX'!$C39)</f>
        <v>0</v>
      </c>
      <c r="R39" s="419">
        <f>SUMIFS(SX!AI$2:AI$19,SX!$B$2:$B$19,'chia CN SX'!$C39)</f>
        <v>0</v>
      </c>
      <c r="S39" s="419">
        <f>SUMIFS(SX!AJ$2:AJ$19,SX!$B$2:$B$19,'chia CN SX'!$C39)</f>
        <v>0</v>
      </c>
      <c r="V39" s="80" t="e">
        <f>'chia CN boc xe'!U39</f>
        <v>#REF!</v>
      </c>
      <c r="W39" s="81">
        <f t="shared" si="33"/>
        <v>0</v>
      </c>
      <c r="X39" s="81">
        <f t="shared" si="34"/>
        <v>0</v>
      </c>
      <c r="Y39" s="81">
        <f t="shared" si="35"/>
        <v>0</v>
      </c>
      <c r="Z39" s="81">
        <f t="shared" si="36"/>
        <v>0</v>
      </c>
      <c r="AA39" s="81">
        <f t="shared" si="37"/>
        <v>0</v>
      </c>
      <c r="AB39" s="81">
        <f t="shared" si="38"/>
        <v>0</v>
      </c>
      <c r="AC39" s="81">
        <f t="shared" si="39"/>
        <v>0</v>
      </c>
      <c r="AD39" s="81">
        <f t="shared" si="40"/>
        <v>0</v>
      </c>
      <c r="AE39" s="81">
        <f t="shared" si="41"/>
        <v>0</v>
      </c>
      <c r="AF39" s="81">
        <f t="shared" si="42"/>
        <v>0</v>
      </c>
      <c r="AG39" s="81">
        <f t="shared" si="43"/>
        <v>0</v>
      </c>
      <c r="AH39" s="81">
        <f t="shared" si="44"/>
        <v>0</v>
      </c>
      <c r="AI39" s="81">
        <f t="shared" si="45"/>
        <v>0</v>
      </c>
      <c r="AJ39" s="81">
        <f t="shared" si="46"/>
        <v>0</v>
      </c>
      <c r="AK39" s="81">
        <f t="shared" si="47"/>
        <v>0</v>
      </c>
    </row>
    <row r="40" spans="1:37">
      <c r="A40" s="421">
        <f t="shared" si="16"/>
        <v>38</v>
      </c>
      <c r="B40" s="560"/>
      <c r="C40" s="421"/>
      <c r="D40" s="419">
        <f>SUMIFS(SX!U$2:U$19,SX!$B$2:$B$19,'chia CN SX'!$C40)</f>
        <v>0</v>
      </c>
      <c r="E40" s="419">
        <f>SUMIFS(SX!V$2:V$19,SX!$B$2:$B$19,'chia CN SX'!$C40)</f>
        <v>0</v>
      </c>
      <c r="F40" s="419">
        <f>SUMIFS(SX!W$2:W$19,SX!$B$2:$B$19,'chia CN SX'!$C40)</f>
        <v>0</v>
      </c>
      <c r="G40" s="419">
        <f>SUMIFS(SX!X$2:X$19,SX!$B$2:$B$19,'chia CN SX'!$C40)</f>
        <v>0</v>
      </c>
      <c r="H40" s="419">
        <f>SUMIFS(SX!Y$2:Y$19,SX!$B$2:$B$19,'chia CN SX'!$C40)</f>
        <v>0</v>
      </c>
      <c r="I40" s="419">
        <f>SUMIFS(SX!Z$2:Z$19,SX!$B$2:$B$19,'chia CN SX'!$C40)</f>
        <v>0</v>
      </c>
      <c r="J40" s="419">
        <f>SUMIFS(SX!AA$2:AA$19,SX!$B$2:$B$19,'chia CN SX'!$C40)</f>
        <v>0</v>
      </c>
      <c r="K40" s="419">
        <f>SUMIFS(SX!AB$2:AB$19,SX!$B$2:$B$19,'chia CN SX'!$C40)</f>
        <v>0</v>
      </c>
      <c r="L40" s="419">
        <f>SUMIFS(SX!AC$2:AC$19,SX!$B$2:$B$19,'chia CN SX'!$C40)</f>
        <v>0</v>
      </c>
      <c r="M40" s="419">
        <f>SUMIFS(SX!AD$2:AD$19,SX!$B$2:$B$19,'chia CN SX'!$C40)</f>
        <v>0</v>
      </c>
      <c r="N40" s="419">
        <f>SUMIFS(SX!AE$2:AE$19,SX!$B$2:$B$19,'chia CN SX'!$C40)</f>
        <v>0</v>
      </c>
      <c r="O40" s="419">
        <f>SUMIFS(SX!AF$2:AF$19,SX!$B$2:$B$19,'chia CN SX'!$C40)</f>
        <v>0</v>
      </c>
      <c r="P40" s="419">
        <f>SUMIFS(SX!AG$2:AG$19,SX!$B$2:$B$19,'chia CN SX'!$C40)</f>
        <v>0</v>
      </c>
      <c r="Q40" s="419">
        <f>SUMIFS(SX!AH$2:AH$19,SX!$B$2:$B$19,'chia CN SX'!$C40)</f>
        <v>0</v>
      </c>
      <c r="R40" s="419">
        <f>SUMIFS(SX!AI$2:AI$19,SX!$B$2:$B$19,'chia CN SX'!$C40)</f>
        <v>0</v>
      </c>
      <c r="S40" s="419">
        <f>SUMIFS(SX!AJ$2:AJ$19,SX!$B$2:$B$19,'chia CN SX'!$C40)</f>
        <v>0</v>
      </c>
      <c r="V40" s="545" t="e">
        <f>'chia CN boc xe'!U40</f>
        <v>#REF!</v>
      </c>
      <c r="W40" s="81">
        <f t="shared" ref="W40:W52" si="48">SUMIF($B$3:$B$114,$V40,D$3:D$114)</f>
        <v>0</v>
      </c>
      <c r="X40" s="81">
        <f t="shared" si="34"/>
        <v>0</v>
      </c>
      <c r="Y40" s="81">
        <f t="shared" si="35"/>
        <v>0</v>
      </c>
      <c r="Z40" s="81">
        <f t="shared" si="36"/>
        <v>0</v>
      </c>
      <c r="AA40" s="81">
        <f t="shared" si="37"/>
        <v>0</v>
      </c>
      <c r="AB40" s="81">
        <f t="shared" si="38"/>
        <v>0</v>
      </c>
      <c r="AC40" s="81">
        <f t="shared" si="39"/>
        <v>0</v>
      </c>
      <c r="AD40" s="81">
        <f t="shared" si="40"/>
        <v>0</v>
      </c>
      <c r="AE40" s="81">
        <f t="shared" si="41"/>
        <v>0</v>
      </c>
      <c r="AF40" s="81">
        <f t="shared" si="42"/>
        <v>0</v>
      </c>
      <c r="AG40" s="81">
        <f t="shared" si="43"/>
        <v>0</v>
      </c>
      <c r="AH40" s="81">
        <f t="shared" si="44"/>
        <v>0</v>
      </c>
      <c r="AI40" s="81">
        <f t="shared" si="45"/>
        <v>0</v>
      </c>
      <c r="AJ40" s="81">
        <f t="shared" si="46"/>
        <v>0</v>
      </c>
      <c r="AK40" s="81">
        <f t="shared" si="47"/>
        <v>0</v>
      </c>
    </row>
    <row r="41" spans="1:37">
      <c r="A41" s="421">
        <f t="shared" si="16"/>
        <v>39</v>
      </c>
      <c r="B41" s="560"/>
      <c r="C41" s="421"/>
      <c r="D41" s="419">
        <f>SUMIFS(SX!U$2:U$19,SX!$B$2:$B$19,'chia CN SX'!$C41)</f>
        <v>0</v>
      </c>
      <c r="E41" s="419">
        <f>SUMIFS(SX!V$2:V$19,SX!$B$2:$B$19,'chia CN SX'!$C41)</f>
        <v>0</v>
      </c>
      <c r="F41" s="419">
        <f>SUMIFS(SX!W$2:W$19,SX!$B$2:$B$19,'chia CN SX'!$C41)</f>
        <v>0</v>
      </c>
      <c r="G41" s="419">
        <f>SUMIFS(SX!X$2:X$19,SX!$B$2:$B$19,'chia CN SX'!$C41)</f>
        <v>0</v>
      </c>
      <c r="H41" s="419">
        <f>SUMIFS(SX!Y$2:Y$19,SX!$B$2:$B$19,'chia CN SX'!$C41)</f>
        <v>0</v>
      </c>
      <c r="I41" s="419">
        <f>SUMIFS(SX!Z$2:Z$19,SX!$B$2:$B$19,'chia CN SX'!$C41)</f>
        <v>0</v>
      </c>
      <c r="J41" s="419">
        <f>SUMIFS(SX!AA$2:AA$19,SX!$B$2:$B$19,'chia CN SX'!$C41)</f>
        <v>0</v>
      </c>
      <c r="K41" s="419">
        <f>SUMIFS(SX!AB$2:AB$19,SX!$B$2:$B$19,'chia CN SX'!$C41)</f>
        <v>0</v>
      </c>
      <c r="L41" s="419">
        <f>SUMIFS(SX!AC$2:AC$19,SX!$B$2:$B$19,'chia CN SX'!$C41)</f>
        <v>0</v>
      </c>
      <c r="M41" s="419">
        <f>SUMIFS(SX!AD$2:AD$19,SX!$B$2:$B$19,'chia CN SX'!$C41)</f>
        <v>0</v>
      </c>
      <c r="N41" s="419">
        <f>SUMIFS(SX!AE$2:AE$19,SX!$B$2:$B$19,'chia CN SX'!$C41)</f>
        <v>0</v>
      </c>
      <c r="O41" s="419">
        <f>SUMIFS(SX!AF$2:AF$19,SX!$B$2:$B$19,'chia CN SX'!$C41)</f>
        <v>0</v>
      </c>
      <c r="P41" s="419">
        <f>SUMIFS(SX!AG$2:AG$19,SX!$B$2:$B$19,'chia CN SX'!$C41)</f>
        <v>0</v>
      </c>
      <c r="Q41" s="419">
        <f>SUMIFS(SX!AH$2:AH$19,SX!$B$2:$B$19,'chia CN SX'!$C41)</f>
        <v>0</v>
      </c>
      <c r="R41" s="419">
        <f>SUMIFS(SX!AI$2:AI$19,SX!$B$2:$B$19,'chia CN SX'!$C41)</f>
        <v>0</v>
      </c>
      <c r="S41" s="419">
        <f>SUMIFS(SX!AJ$2:AJ$19,SX!$B$2:$B$19,'chia CN SX'!$C41)</f>
        <v>0</v>
      </c>
      <c r="V41" s="545" t="e">
        <f>'chia CN boc xe'!U41</f>
        <v>#REF!</v>
      </c>
      <c r="W41" s="81">
        <f t="shared" si="48"/>
        <v>0</v>
      </c>
      <c r="X41" s="81">
        <f t="shared" si="34"/>
        <v>0</v>
      </c>
      <c r="Y41" s="81">
        <f t="shared" si="35"/>
        <v>0</v>
      </c>
      <c r="Z41" s="81">
        <f t="shared" si="36"/>
        <v>0</v>
      </c>
      <c r="AA41" s="81">
        <f t="shared" si="37"/>
        <v>0</v>
      </c>
      <c r="AB41" s="81">
        <f t="shared" si="38"/>
        <v>0</v>
      </c>
      <c r="AC41" s="81">
        <f t="shared" si="39"/>
        <v>0</v>
      </c>
      <c r="AD41" s="81">
        <f t="shared" si="40"/>
        <v>0</v>
      </c>
      <c r="AE41" s="81">
        <f t="shared" si="41"/>
        <v>0</v>
      </c>
      <c r="AF41" s="81">
        <f t="shared" si="42"/>
        <v>0</v>
      </c>
      <c r="AG41" s="81">
        <f t="shared" si="43"/>
        <v>0</v>
      </c>
      <c r="AH41" s="81">
        <f t="shared" si="44"/>
        <v>0</v>
      </c>
      <c r="AI41" s="81">
        <f t="shared" si="45"/>
        <v>0</v>
      </c>
      <c r="AJ41" s="81">
        <f t="shared" si="46"/>
        <v>0</v>
      </c>
      <c r="AK41" s="81">
        <f t="shared" si="47"/>
        <v>0</v>
      </c>
    </row>
    <row r="42" spans="1:37">
      <c r="A42" s="421">
        <f t="shared" si="16"/>
        <v>40</v>
      </c>
      <c r="B42" s="560"/>
      <c r="C42" s="421"/>
      <c r="D42" s="419">
        <f>SUMIFS(SX!U$2:U$19,SX!$B$2:$B$19,'chia CN SX'!$C42)</f>
        <v>0</v>
      </c>
      <c r="E42" s="419">
        <f>SUMIFS(SX!V$2:V$19,SX!$B$2:$B$19,'chia CN SX'!$C42)</f>
        <v>0</v>
      </c>
      <c r="F42" s="419">
        <f>SUMIFS(SX!W$2:W$19,SX!$B$2:$B$19,'chia CN SX'!$C42)</f>
        <v>0</v>
      </c>
      <c r="G42" s="419">
        <f>SUMIFS(SX!X$2:X$19,SX!$B$2:$B$19,'chia CN SX'!$C42)</f>
        <v>0</v>
      </c>
      <c r="H42" s="419">
        <f>SUMIFS(SX!Y$2:Y$19,SX!$B$2:$B$19,'chia CN SX'!$C42)</f>
        <v>0</v>
      </c>
      <c r="I42" s="419">
        <f>SUMIFS(SX!Z$2:Z$19,SX!$B$2:$B$19,'chia CN SX'!$C42)</f>
        <v>0</v>
      </c>
      <c r="J42" s="419">
        <f>SUMIFS(SX!AA$2:AA$19,SX!$B$2:$B$19,'chia CN SX'!$C42)</f>
        <v>0</v>
      </c>
      <c r="K42" s="419">
        <f>SUMIFS(SX!AB$2:AB$19,SX!$B$2:$B$19,'chia CN SX'!$C42)</f>
        <v>0</v>
      </c>
      <c r="L42" s="419">
        <f>SUMIFS(SX!AC$2:AC$19,SX!$B$2:$B$19,'chia CN SX'!$C42)</f>
        <v>0</v>
      </c>
      <c r="M42" s="419">
        <f>SUMIFS(SX!AD$2:AD$19,SX!$B$2:$B$19,'chia CN SX'!$C42)</f>
        <v>0</v>
      </c>
      <c r="N42" s="419">
        <f>SUMIFS(SX!AE$2:AE$19,SX!$B$2:$B$19,'chia CN SX'!$C42)</f>
        <v>0</v>
      </c>
      <c r="O42" s="419">
        <f>SUMIFS(SX!AF$2:AF$19,SX!$B$2:$B$19,'chia CN SX'!$C42)</f>
        <v>0</v>
      </c>
      <c r="P42" s="419">
        <f>SUMIFS(SX!AG$2:AG$19,SX!$B$2:$B$19,'chia CN SX'!$C42)</f>
        <v>0</v>
      </c>
      <c r="Q42" s="419">
        <f>SUMIFS(SX!AH$2:AH$19,SX!$B$2:$B$19,'chia CN SX'!$C42)</f>
        <v>0</v>
      </c>
      <c r="R42" s="419">
        <f>SUMIFS(SX!AI$2:AI$19,SX!$B$2:$B$19,'chia CN SX'!$C42)</f>
        <v>0</v>
      </c>
      <c r="S42" s="419">
        <f>SUMIFS(SX!AJ$2:AJ$19,SX!$B$2:$B$19,'chia CN SX'!$C42)</f>
        <v>0</v>
      </c>
      <c r="V42" s="546" t="e">
        <f>'chia CN boc xe'!U42</f>
        <v>#REF!</v>
      </c>
      <c r="W42" s="81">
        <f t="shared" si="48"/>
        <v>0</v>
      </c>
      <c r="X42" s="81">
        <f t="shared" si="34"/>
        <v>0</v>
      </c>
      <c r="Y42" s="81">
        <f t="shared" si="35"/>
        <v>0</v>
      </c>
      <c r="Z42" s="81">
        <f t="shared" si="36"/>
        <v>0</v>
      </c>
      <c r="AA42" s="81">
        <f t="shared" si="37"/>
        <v>0</v>
      </c>
      <c r="AB42" s="81">
        <f t="shared" si="38"/>
        <v>0</v>
      </c>
      <c r="AC42" s="81">
        <f t="shared" si="39"/>
        <v>0</v>
      </c>
      <c r="AD42" s="81">
        <f t="shared" si="40"/>
        <v>0</v>
      </c>
      <c r="AE42" s="81">
        <f t="shared" si="41"/>
        <v>0</v>
      </c>
      <c r="AF42" s="81">
        <f t="shared" si="42"/>
        <v>0</v>
      </c>
      <c r="AG42" s="81">
        <f t="shared" si="43"/>
        <v>0</v>
      </c>
      <c r="AH42" s="81">
        <f t="shared" si="44"/>
        <v>0</v>
      </c>
      <c r="AI42" s="81">
        <f t="shared" si="45"/>
        <v>0</v>
      </c>
      <c r="AJ42" s="81">
        <f t="shared" si="46"/>
        <v>0</v>
      </c>
      <c r="AK42" s="81">
        <f t="shared" si="47"/>
        <v>0</v>
      </c>
    </row>
    <row r="43" spans="1:37">
      <c r="A43" s="421">
        <f t="shared" si="16"/>
        <v>41</v>
      </c>
      <c r="B43" s="559"/>
      <c r="C43" s="421"/>
      <c r="D43" s="419">
        <f>SUMIFS(SX!U$2:U$19,SX!$B$2:$B$19,'chia CN SX'!$C43)</f>
        <v>0</v>
      </c>
      <c r="E43" s="419">
        <f>SUMIFS(SX!V$2:V$19,SX!$B$2:$B$19,'chia CN SX'!$C43)</f>
        <v>0</v>
      </c>
      <c r="F43" s="419">
        <f>SUMIFS(SX!W$2:W$19,SX!$B$2:$B$19,'chia CN SX'!$C43)</f>
        <v>0</v>
      </c>
      <c r="G43" s="419">
        <f>SUMIFS(SX!X$2:X$19,SX!$B$2:$B$19,'chia CN SX'!$C43)</f>
        <v>0</v>
      </c>
      <c r="H43" s="419">
        <f>SUMIFS(SX!Y$2:Y$19,SX!$B$2:$B$19,'chia CN SX'!$C43)</f>
        <v>0</v>
      </c>
      <c r="I43" s="419">
        <f>SUMIFS(SX!Z$2:Z$19,SX!$B$2:$B$19,'chia CN SX'!$C43)</f>
        <v>0</v>
      </c>
      <c r="J43" s="419">
        <f>SUMIFS(SX!AA$2:AA$19,SX!$B$2:$B$19,'chia CN SX'!$C43)</f>
        <v>0</v>
      </c>
      <c r="K43" s="419">
        <f>SUMIFS(SX!AB$2:AB$19,SX!$B$2:$B$19,'chia CN SX'!$C43)</f>
        <v>0</v>
      </c>
      <c r="L43" s="419">
        <f>SUMIFS(SX!AC$2:AC$19,SX!$B$2:$B$19,'chia CN SX'!$C43)</f>
        <v>0</v>
      </c>
      <c r="M43" s="419">
        <f>SUMIFS(SX!AD$2:AD$19,SX!$B$2:$B$19,'chia CN SX'!$C43)</f>
        <v>0</v>
      </c>
      <c r="N43" s="419">
        <f>SUMIFS(SX!AE$2:AE$19,SX!$B$2:$B$19,'chia CN SX'!$C43)</f>
        <v>0</v>
      </c>
      <c r="O43" s="419">
        <f>SUMIFS(SX!AF$2:AF$19,SX!$B$2:$B$19,'chia CN SX'!$C43)</f>
        <v>0</v>
      </c>
      <c r="P43" s="419">
        <f>SUMIFS(SX!AG$2:AG$19,SX!$B$2:$B$19,'chia CN SX'!$C43)</f>
        <v>0</v>
      </c>
      <c r="Q43" s="419">
        <f>SUMIFS(SX!AH$2:AH$19,SX!$B$2:$B$19,'chia CN SX'!$C43)</f>
        <v>0</v>
      </c>
      <c r="R43" s="419">
        <f>SUMIFS(SX!AI$2:AI$19,SX!$B$2:$B$19,'chia CN SX'!$C43)</f>
        <v>0</v>
      </c>
      <c r="S43" s="419">
        <f>SUMIFS(SX!AJ$2:AJ$19,SX!$B$2:$B$19,'chia CN SX'!$C43)</f>
        <v>0</v>
      </c>
      <c r="V43" s="546" t="e">
        <f>'chia CN boc xe'!U43</f>
        <v>#REF!</v>
      </c>
      <c r="W43" s="81">
        <f t="shared" si="48"/>
        <v>0</v>
      </c>
      <c r="X43" s="81">
        <f t="shared" si="34"/>
        <v>0</v>
      </c>
      <c r="Y43" s="81">
        <f t="shared" si="35"/>
        <v>0</v>
      </c>
      <c r="Z43" s="81">
        <f t="shared" si="36"/>
        <v>0</v>
      </c>
      <c r="AA43" s="81">
        <f t="shared" si="37"/>
        <v>0</v>
      </c>
      <c r="AB43" s="81">
        <f t="shared" si="38"/>
        <v>0</v>
      </c>
      <c r="AC43" s="81">
        <f t="shared" si="39"/>
        <v>0</v>
      </c>
      <c r="AD43" s="81">
        <f t="shared" si="40"/>
        <v>0</v>
      </c>
      <c r="AE43" s="81">
        <f t="shared" si="41"/>
        <v>0</v>
      </c>
      <c r="AF43" s="81">
        <f t="shared" si="42"/>
        <v>0</v>
      </c>
      <c r="AG43" s="81">
        <f t="shared" si="43"/>
        <v>0</v>
      </c>
      <c r="AH43" s="81">
        <f t="shared" si="44"/>
        <v>0</v>
      </c>
      <c r="AI43" s="81">
        <f t="shared" si="45"/>
        <v>0</v>
      </c>
      <c r="AJ43" s="81">
        <f t="shared" si="46"/>
        <v>0</v>
      </c>
      <c r="AK43" s="81">
        <f t="shared" si="47"/>
        <v>0</v>
      </c>
    </row>
    <row r="44" spans="1:37">
      <c r="A44" s="421">
        <f t="shared" si="16"/>
        <v>42</v>
      </c>
      <c r="B44" s="559"/>
      <c r="C44" s="421"/>
      <c r="D44" s="419">
        <f>SUMIFS(SX!U$2:U$19,SX!$B$2:$B$19,'chia CN SX'!$C44)</f>
        <v>0</v>
      </c>
      <c r="E44" s="419">
        <f>SUMIFS(SX!V$2:V$19,SX!$B$2:$B$19,'chia CN SX'!$C44)</f>
        <v>0</v>
      </c>
      <c r="F44" s="419">
        <f>SUMIFS(SX!W$2:W$19,SX!$B$2:$B$19,'chia CN SX'!$C44)</f>
        <v>0</v>
      </c>
      <c r="G44" s="419">
        <f>SUMIFS(SX!X$2:X$19,SX!$B$2:$B$19,'chia CN SX'!$C44)</f>
        <v>0</v>
      </c>
      <c r="H44" s="419">
        <f>SUMIFS(SX!Y$2:Y$19,SX!$B$2:$B$19,'chia CN SX'!$C44)</f>
        <v>0</v>
      </c>
      <c r="I44" s="419">
        <f>SUMIFS(SX!Z$2:Z$19,SX!$B$2:$B$19,'chia CN SX'!$C44)</f>
        <v>0</v>
      </c>
      <c r="J44" s="419">
        <f>SUMIFS(SX!AA$2:AA$19,SX!$B$2:$B$19,'chia CN SX'!$C44)</f>
        <v>0</v>
      </c>
      <c r="K44" s="419">
        <f>SUMIFS(SX!AB$2:AB$19,SX!$B$2:$B$19,'chia CN SX'!$C44)</f>
        <v>0</v>
      </c>
      <c r="L44" s="419">
        <f>SUMIFS(SX!AC$2:AC$19,SX!$B$2:$B$19,'chia CN SX'!$C44)</f>
        <v>0</v>
      </c>
      <c r="M44" s="419">
        <f>SUMIFS(SX!AD$2:AD$19,SX!$B$2:$B$19,'chia CN SX'!$C44)</f>
        <v>0</v>
      </c>
      <c r="N44" s="419">
        <f>SUMIFS(SX!AE$2:AE$19,SX!$B$2:$B$19,'chia CN SX'!$C44)</f>
        <v>0</v>
      </c>
      <c r="O44" s="419">
        <f>SUMIFS(SX!AF$2:AF$19,SX!$B$2:$B$19,'chia CN SX'!$C44)</f>
        <v>0</v>
      </c>
      <c r="P44" s="419">
        <f>SUMIFS(SX!AG$2:AG$19,SX!$B$2:$B$19,'chia CN SX'!$C44)</f>
        <v>0</v>
      </c>
      <c r="Q44" s="419">
        <f>SUMIFS(SX!AH$2:AH$19,SX!$B$2:$B$19,'chia CN SX'!$C44)</f>
        <v>0</v>
      </c>
      <c r="R44" s="419">
        <f>SUMIFS(SX!AI$2:AI$19,SX!$B$2:$B$19,'chia CN SX'!$C44)</f>
        <v>0</v>
      </c>
      <c r="S44" s="419">
        <f>SUMIFS(SX!AJ$2:AJ$19,SX!$B$2:$B$19,'chia CN SX'!$C44)</f>
        <v>0</v>
      </c>
      <c r="V44" s="80" t="e">
        <f>'chia CN boc xe'!U44</f>
        <v>#REF!</v>
      </c>
      <c r="W44" s="81">
        <f t="shared" si="48"/>
        <v>0</v>
      </c>
      <c r="X44" s="81">
        <f t="shared" si="34"/>
        <v>0</v>
      </c>
      <c r="Y44" s="81">
        <f t="shared" si="35"/>
        <v>0</v>
      </c>
      <c r="Z44" s="81">
        <f t="shared" si="36"/>
        <v>0</v>
      </c>
      <c r="AA44" s="81">
        <f t="shared" si="37"/>
        <v>0</v>
      </c>
      <c r="AB44" s="81">
        <f t="shared" si="38"/>
        <v>0</v>
      </c>
      <c r="AC44" s="81">
        <f t="shared" si="39"/>
        <v>0</v>
      </c>
      <c r="AD44" s="81">
        <f t="shared" si="40"/>
        <v>0</v>
      </c>
      <c r="AE44" s="81">
        <f t="shared" si="41"/>
        <v>0</v>
      </c>
      <c r="AF44" s="81">
        <f t="shared" si="42"/>
        <v>0</v>
      </c>
      <c r="AG44" s="81">
        <f t="shared" si="43"/>
        <v>0</v>
      </c>
      <c r="AH44" s="81">
        <f t="shared" si="44"/>
        <v>0</v>
      </c>
      <c r="AI44" s="81">
        <f t="shared" si="45"/>
        <v>0</v>
      </c>
      <c r="AJ44" s="81">
        <f t="shared" si="46"/>
        <v>0</v>
      </c>
      <c r="AK44" s="81">
        <f t="shared" si="47"/>
        <v>0</v>
      </c>
    </row>
    <row r="45" spans="1:37">
      <c r="A45" s="421">
        <f t="shared" si="16"/>
        <v>43</v>
      </c>
      <c r="B45" s="559"/>
      <c r="C45" s="421"/>
      <c r="D45" s="419">
        <f>SUMIFS(SX!U$2:U$19,SX!$B$2:$B$19,'chia CN SX'!$C45)</f>
        <v>0</v>
      </c>
      <c r="E45" s="419">
        <f>SUMIFS(SX!V$2:V$19,SX!$B$2:$B$19,'chia CN SX'!$C45)</f>
        <v>0</v>
      </c>
      <c r="F45" s="419">
        <f>SUMIFS(SX!W$2:W$19,SX!$B$2:$B$19,'chia CN SX'!$C45)</f>
        <v>0</v>
      </c>
      <c r="G45" s="419">
        <f>SUMIFS(SX!X$2:X$19,SX!$B$2:$B$19,'chia CN SX'!$C45)</f>
        <v>0</v>
      </c>
      <c r="H45" s="419">
        <f>SUMIFS(SX!Y$2:Y$19,SX!$B$2:$B$19,'chia CN SX'!$C45)</f>
        <v>0</v>
      </c>
      <c r="I45" s="419">
        <f>SUMIFS(SX!Z$2:Z$19,SX!$B$2:$B$19,'chia CN SX'!$C45)</f>
        <v>0</v>
      </c>
      <c r="J45" s="419">
        <f>SUMIFS(SX!AA$2:AA$19,SX!$B$2:$B$19,'chia CN SX'!$C45)</f>
        <v>0</v>
      </c>
      <c r="K45" s="419">
        <f>SUMIFS(SX!AB$2:AB$19,SX!$B$2:$B$19,'chia CN SX'!$C45)</f>
        <v>0</v>
      </c>
      <c r="L45" s="419">
        <f>SUMIFS(SX!AC$2:AC$19,SX!$B$2:$B$19,'chia CN SX'!$C45)</f>
        <v>0</v>
      </c>
      <c r="M45" s="419">
        <f>SUMIFS(SX!AD$2:AD$19,SX!$B$2:$B$19,'chia CN SX'!$C45)</f>
        <v>0</v>
      </c>
      <c r="N45" s="419">
        <f>SUMIFS(SX!AE$2:AE$19,SX!$B$2:$B$19,'chia CN SX'!$C45)</f>
        <v>0</v>
      </c>
      <c r="O45" s="419">
        <f>SUMIFS(SX!AF$2:AF$19,SX!$B$2:$B$19,'chia CN SX'!$C45)</f>
        <v>0</v>
      </c>
      <c r="P45" s="419">
        <f>SUMIFS(SX!AG$2:AG$19,SX!$B$2:$B$19,'chia CN SX'!$C45)</f>
        <v>0</v>
      </c>
      <c r="Q45" s="419">
        <f>SUMIFS(SX!AH$2:AH$19,SX!$B$2:$B$19,'chia CN SX'!$C45)</f>
        <v>0</v>
      </c>
      <c r="R45" s="419">
        <f>SUMIFS(SX!AI$2:AI$19,SX!$B$2:$B$19,'chia CN SX'!$C45)</f>
        <v>0</v>
      </c>
      <c r="S45" s="419">
        <f>SUMIFS(SX!AJ$2:AJ$19,SX!$B$2:$B$19,'chia CN SX'!$C45)</f>
        <v>0</v>
      </c>
      <c r="V45" s="546" t="e">
        <f>'chia CN boc xe'!U45</f>
        <v>#REF!</v>
      </c>
      <c r="W45" s="81">
        <f t="shared" si="48"/>
        <v>0</v>
      </c>
      <c r="X45" s="81">
        <f t="shared" si="34"/>
        <v>0</v>
      </c>
      <c r="Y45" s="81">
        <f t="shared" si="35"/>
        <v>0</v>
      </c>
      <c r="Z45" s="81">
        <f t="shared" si="36"/>
        <v>0</v>
      </c>
      <c r="AA45" s="81">
        <f t="shared" si="37"/>
        <v>0</v>
      </c>
      <c r="AB45" s="81">
        <f t="shared" si="38"/>
        <v>0</v>
      </c>
      <c r="AC45" s="81">
        <f t="shared" si="39"/>
        <v>0</v>
      </c>
      <c r="AD45" s="81">
        <f t="shared" si="40"/>
        <v>0</v>
      </c>
      <c r="AE45" s="81">
        <f t="shared" si="41"/>
        <v>0</v>
      </c>
      <c r="AF45" s="81">
        <f t="shared" si="42"/>
        <v>0</v>
      </c>
      <c r="AG45" s="81">
        <f t="shared" si="43"/>
        <v>0</v>
      </c>
      <c r="AH45" s="81">
        <f t="shared" si="44"/>
        <v>0</v>
      </c>
      <c r="AI45" s="81">
        <f t="shared" si="45"/>
        <v>0</v>
      </c>
      <c r="AJ45" s="81">
        <f t="shared" si="46"/>
        <v>0</v>
      </c>
      <c r="AK45" s="81">
        <f t="shared" si="47"/>
        <v>0</v>
      </c>
    </row>
    <row r="46" spans="1:37">
      <c r="A46" s="421">
        <f t="shared" si="16"/>
        <v>44</v>
      </c>
      <c r="B46" s="559"/>
      <c r="C46" s="421"/>
      <c r="D46" s="419">
        <f>SUMIFS(SX!U$2:U$19,SX!$B$2:$B$19,'chia CN SX'!$C46)</f>
        <v>0</v>
      </c>
      <c r="E46" s="419">
        <f>SUMIFS(SX!V$2:V$19,SX!$B$2:$B$19,'chia CN SX'!$C46)</f>
        <v>0</v>
      </c>
      <c r="F46" s="419">
        <f>SUMIFS(SX!W$2:W$19,SX!$B$2:$B$19,'chia CN SX'!$C46)</f>
        <v>0</v>
      </c>
      <c r="G46" s="419">
        <f>SUMIFS(SX!X$2:X$19,SX!$B$2:$B$19,'chia CN SX'!$C46)</f>
        <v>0</v>
      </c>
      <c r="H46" s="419">
        <f>SUMIFS(SX!Y$2:Y$19,SX!$B$2:$B$19,'chia CN SX'!$C46)</f>
        <v>0</v>
      </c>
      <c r="I46" s="419">
        <f>SUMIFS(SX!Z$2:Z$19,SX!$B$2:$B$19,'chia CN SX'!$C46)</f>
        <v>0</v>
      </c>
      <c r="J46" s="419">
        <f>SUMIFS(SX!AA$2:AA$19,SX!$B$2:$B$19,'chia CN SX'!$C46)</f>
        <v>0</v>
      </c>
      <c r="K46" s="419">
        <f>SUMIFS(SX!AB$2:AB$19,SX!$B$2:$B$19,'chia CN SX'!$C46)</f>
        <v>0</v>
      </c>
      <c r="L46" s="419">
        <f>SUMIFS(SX!AC$2:AC$19,SX!$B$2:$B$19,'chia CN SX'!$C46)</f>
        <v>0</v>
      </c>
      <c r="M46" s="419">
        <f>SUMIFS(SX!AD$2:AD$19,SX!$B$2:$B$19,'chia CN SX'!$C46)</f>
        <v>0</v>
      </c>
      <c r="N46" s="419">
        <f>SUMIFS(SX!AE$2:AE$19,SX!$B$2:$B$19,'chia CN SX'!$C46)</f>
        <v>0</v>
      </c>
      <c r="O46" s="419">
        <f>SUMIFS(SX!AF$2:AF$19,SX!$B$2:$B$19,'chia CN SX'!$C46)</f>
        <v>0</v>
      </c>
      <c r="P46" s="419">
        <f>SUMIFS(SX!AG$2:AG$19,SX!$B$2:$B$19,'chia CN SX'!$C46)</f>
        <v>0</v>
      </c>
      <c r="Q46" s="419">
        <f>SUMIFS(SX!AH$2:AH$19,SX!$B$2:$B$19,'chia CN SX'!$C46)</f>
        <v>0</v>
      </c>
      <c r="R46" s="419">
        <f>SUMIFS(SX!AI$2:AI$19,SX!$B$2:$B$19,'chia CN SX'!$C46)</f>
        <v>0</v>
      </c>
      <c r="S46" s="419">
        <f>SUMIFS(SX!AJ$2:AJ$19,SX!$B$2:$B$19,'chia CN SX'!$C46)</f>
        <v>0</v>
      </c>
      <c r="V46" s="546" t="e">
        <f>'chia CN boc xe'!U46</f>
        <v>#REF!</v>
      </c>
      <c r="W46" s="81">
        <f t="shared" si="48"/>
        <v>0</v>
      </c>
      <c r="X46" s="81">
        <f t="shared" si="34"/>
        <v>0</v>
      </c>
      <c r="Y46" s="81">
        <f t="shared" si="35"/>
        <v>0</v>
      </c>
      <c r="Z46" s="81">
        <f t="shared" si="36"/>
        <v>0</v>
      </c>
      <c r="AA46" s="81">
        <f t="shared" si="37"/>
        <v>0</v>
      </c>
      <c r="AB46" s="81">
        <f t="shared" si="38"/>
        <v>0</v>
      </c>
      <c r="AC46" s="81">
        <f t="shared" si="39"/>
        <v>0</v>
      </c>
      <c r="AD46" s="81">
        <f t="shared" si="40"/>
        <v>0</v>
      </c>
      <c r="AE46" s="81">
        <f t="shared" si="41"/>
        <v>0</v>
      </c>
      <c r="AF46" s="81">
        <f t="shared" si="42"/>
        <v>0</v>
      </c>
      <c r="AG46" s="81">
        <f t="shared" si="43"/>
        <v>0</v>
      </c>
      <c r="AH46" s="81">
        <f t="shared" si="44"/>
        <v>0</v>
      </c>
      <c r="AI46" s="81">
        <f t="shared" si="45"/>
        <v>0</v>
      </c>
      <c r="AJ46" s="81">
        <f t="shared" si="46"/>
        <v>0</v>
      </c>
      <c r="AK46" s="81">
        <f t="shared" si="47"/>
        <v>0</v>
      </c>
    </row>
    <row r="47" spans="1:37">
      <c r="A47" s="421">
        <f t="shared" si="16"/>
        <v>45</v>
      </c>
      <c r="B47" s="559"/>
      <c r="C47" s="421"/>
      <c r="D47" s="419">
        <f>SUMIFS(SX!U$2:U$19,SX!$B$2:$B$19,'chia CN SX'!$C47)</f>
        <v>0</v>
      </c>
      <c r="E47" s="419">
        <f>SUMIFS(SX!V$2:V$19,SX!$B$2:$B$19,'chia CN SX'!$C47)</f>
        <v>0</v>
      </c>
      <c r="F47" s="419">
        <f>SUMIFS(SX!W$2:W$19,SX!$B$2:$B$19,'chia CN SX'!$C47)</f>
        <v>0</v>
      </c>
      <c r="G47" s="419">
        <f>SUMIFS(SX!X$2:X$19,SX!$B$2:$B$19,'chia CN SX'!$C47)</f>
        <v>0</v>
      </c>
      <c r="H47" s="419">
        <f>SUMIFS(SX!Y$2:Y$19,SX!$B$2:$B$19,'chia CN SX'!$C47)</f>
        <v>0</v>
      </c>
      <c r="I47" s="419">
        <f>SUMIFS(SX!Z$2:Z$19,SX!$B$2:$B$19,'chia CN SX'!$C47)</f>
        <v>0</v>
      </c>
      <c r="J47" s="419">
        <f>SUMIFS(SX!AA$2:AA$19,SX!$B$2:$B$19,'chia CN SX'!$C47)</f>
        <v>0</v>
      </c>
      <c r="K47" s="419">
        <f>SUMIFS(SX!AB$2:AB$19,SX!$B$2:$B$19,'chia CN SX'!$C47)</f>
        <v>0</v>
      </c>
      <c r="L47" s="419">
        <f>SUMIFS(SX!AC$2:AC$19,SX!$B$2:$B$19,'chia CN SX'!$C47)</f>
        <v>0</v>
      </c>
      <c r="M47" s="419">
        <f>SUMIFS(SX!AD$2:AD$19,SX!$B$2:$B$19,'chia CN SX'!$C47)</f>
        <v>0</v>
      </c>
      <c r="N47" s="419">
        <f>SUMIFS(SX!AE$2:AE$19,SX!$B$2:$B$19,'chia CN SX'!$C47)</f>
        <v>0</v>
      </c>
      <c r="O47" s="419">
        <f>SUMIFS(SX!AF$2:AF$19,SX!$B$2:$B$19,'chia CN SX'!$C47)</f>
        <v>0</v>
      </c>
      <c r="P47" s="419">
        <f>SUMIFS(SX!AG$2:AG$19,SX!$B$2:$B$19,'chia CN SX'!$C47)</f>
        <v>0</v>
      </c>
      <c r="Q47" s="419">
        <f>SUMIFS(SX!AH$2:AH$19,SX!$B$2:$B$19,'chia CN SX'!$C47)</f>
        <v>0</v>
      </c>
      <c r="R47" s="419">
        <f>SUMIFS(SX!AI$2:AI$19,SX!$B$2:$B$19,'chia CN SX'!$C47)</f>
        <v>0</v>
      </c>
      <c r="S47" s="419">
        <f>SUMIFS(SX!AJ$2:AJ$19,SX!$B$2:$B$19,'chia CN SX'!$C47)</f>
        <v>0</v>
      </c>
      <c r="V47" s="545" t="e">
        <f>'chia CN boc xe'!U47</f>
        <v>#REF!</v>
      </c>
      <c r="W47" s="81">
        <f t="shared" si="48"/>
        <v>0</v>
      </c>
      <c r="X47" s="81">
        <f t="shared" si="34"/>
        <v>0</v>
      </c>
      <c r="Y47" s="81">
        <f t="shared" si="35"/>
        <v>0</v>
      </c>
      <c r="Z47" s="81">
        <f t="shared" si="36"/>
        <v>0</v>
      </c>
      <c r="AA47" s="81">
        <f t="shared" si="37"/>
        <v>0</v>
      </c>
      <c r="AB47" s="81">
        <f t="shared" si="38"/>
        <v>0</v>
      </c>
      <c r="AC47" s="81">
        <f t="shared" si="39"/>
        <v>0</v>
      </c>
      <c r="AD47" s="81">
        <f t="shared" si="40"/>
        <v>0</v>
      </c>
      <c r="AE47" s="81">
        <f t="shared" si="41"/>
        <v>0</v>
      </c>
      <c r="AF47" s="81">
        <f t="shared" si="42"/>
        <v>0</v>
      </c>
      <c r="AG47" s="81">
        <f t="shared" si="43"/>
        <v>0</v>
      </c>
      <c r="AH47" s="81">
        <f t="shared" si="44"/>
        <v>0</v>
      </c>
      <c r="AI47" s="81">
        <f t="shared" si="45"/>
        <v>0</v>
      </c>
      <c r="AJ47" s="81">
        <f t="shared" si="46"/>
        <v>0</v>
      </c>
      <c r="AK47" s="81">
        <f t="shared" si="47"/>
        <v>0</v>
      </c>
    </row>
    <row r="48" spans="1:37">
      <c r="A48" s="421">
        <f t="shared" si="16"/>
        <v>46</v>
      </c>
      <c r="B48" s="559"/>
      <c r="C48" s="421"/>
      <c r="D48" s="419">
        <f>SUMIFS(SX!U$2:U$19,SX!$B$2:$B$19,'chia CN SX'!$C48)</f>
        <v>0</v>
      </c>
      <c r="E48" s="419">
        <f>SUMIFS(SX!V$2:V$19,SX!$B$2:$B$19,'chia CN SX'!$C48)</f>
        <v>0</v>
      </c>
      <c r="F48" s="419">
        <f>SUMIFS(SX!W$2:W$19,SX!$B$2:$B$19,'chia CN SX'!$C48)</f>
        <v>0</v>
      </c>
      <c r="G48" s="419">
        <f>SUMIFS(SX!X$2:X$19,SX!$B$2:$B$19,'chia CN SX'!$C48)</f>
        <v>0</v>
      </c>
      <c r="H48" s="419">
        <f>SUMIFS(SX!Y$2:Y$19,SX!$B$2:$B$19,'chia CN SX'!$C48)</f>
        <v>0</v>
      </c>
      <c r="I48" s="419">
        <f>SUMIFS(SX!Z$2:Z$19,SX!$B$2:$B$19,'chia CN SX'!$C48)</f>
        <v>0</v>
      </c>
      <c r="J48" s="419">
        <f>SUMIFS(SX!AA$2:AA$19,SX!$B$2:$B$19,'chia CN SX'!$C48)</f>
        <v>0</v>
      </c>
      <c r="K48" s="419">
        <f>SUMIFS(SX!AB$2:AB$19,SX!$B$2:$B$19,'chia CN SX'!$C48)</f>
        <v>0</v>
      </c>
      <c r="L48" s="419">
        <f>SUMIFS(SX!AC$2:AC$19,SX!$B$2:$B$19,'chia CN SX'!$C48)</f>
        <v>0</v>
      </c>
      <c r="M48" s="419">
        <f>SUMIFS(SX!AD$2:AD$19,SX!$B$2:$B$19,'chia CN SX'!$C48)</f>
        <v>0</v>
      </c>
      <c r="N48" s="419">
        <f>SUMIFS(SX!AE$2:AE$19,SX!$B$2:$B$19,'chia CN SX'!$C48)</f>
        <v>0</v>
      </c>
      <c r="O48" s="419">
        <f>SUMIFS(SX!AF$2:AF$19,SX!$B$2:$B$19,'chia CN SX'!$C48)</f>
        <v>0</v>
      </c>
      <c r="P48" s="419">
        <f>SUMIFS(SX!AG$2:AG$19,SX!$B$2:$B$19,'chia CN SX'!$C48)</f>
        <v>0</v>
      </c>
      <c r="Q48" s="419">
        <f>SUMIFS(SX!AH$2:AH$19,SX!$B$2:$B$19,'chia CN SX'!$C48)</f>
        <v>0</v>
      </c>
      <c r="R48" s="419">
        <f>SUMIFS(SX!AI$2:AI$19,SX!$B$2:$B$19,'chia CN SX'!$C48)</f>
        <v>0</v>
      </c>
      <c r="S48" s="419">
        <f>SUMIFS(SX!AJ$2:AJ$19,SX!$B$2:$B$19,'chia CN SX'!$C48)</f>
        <v>0</v>
      </c>
      <c r="V48" s="545" t="e">
        <f>'chia CN boc xe'!U48</f>
        <v>#REF!</v>
      </c>
      <c r="W48" s="81">
        <f t="shared" si="48"/>
        <v>0</v>
      </c>
      <c r="X48" s="81">
        <f t="shared" si="34"/>
        <v>0</v>
      </c>
      <c r="Y48" s="81">
        <f t="shared" si="35"/>
        <v>0</v>
      </c>
      <c r="Z48" s="81">
        <f t="shared" si="36"/>
        <v>0</v>
      </c>
      <c r="AA48" s="81">
        <f t="shared" si="37"/>
        <v>0</v>
      </c>
      <c r="AB48" s="81">
        <f t="shared" si="38"/>
        <v>0</v>
      </c>
      <c r="AC48" s="81">
        <f t="shared" si="39"/>
        <v>0</v>
      </c>
      <c r="AD48" s="81">
        <f t="shared" si="40"/>
        <v>0</v>
      </c>
      <c r="AE48" s="81">
        <f t="shared" si="41"/>
        <v>0</v>
      </c>
      <c r="AF48" s="81">
        <f t="shared" si="42"/>
        <v>0</v>
      </c>
      <c r="AG48" s="81">
        <f t="shared" si="43"/>
        <v>0</v>
      </c>
      <c r="AH48" s="81">
        <f t="shared" si="44"/>
        <v>0</v>
      </c>
      <c r="AI48" s="81">
        <f t="shared" si="45"/>
        <v>0</v>
      </c>
      <c r="AJ48" s="81">
        <f t="shared" si="46"/>
        <v>0</v>
      </c>
      <c r="AK48" s="81">
        <f t="shared" si="47"/>
        <v>0</v>
      </c>
    </row>
    <row r="49" spans="1:37">
      <c r="A49" s="421">
        <f t="shared" si="16"/>
        <v>47</v>
      </c>
      <c r="B49" s="559"/>
      <c r="C49" s="421"/>
      <c r="D49" s="419">
        <f>SUMIFS(SX!U$2:U$19,SX!$B$2:$B$19,'chia CN SX'!$C49)</f>
        <v>0</v>
      </c>
      <c r="E49" s="419">
        <f>SUMIFS(SX!V$2:V$19,SX!$B$2:$B$19,'chia CN SX'!$C49)</f>
        <v>0</v>
      </c>
      <c r="F49" s="419">
        <f>SUMIFS(SX!W$2:W$19,SX!$B$2:$B$19,'chia CN SX'!$C49)</f>
        <v>0</v>
      </c>
      <c r="G49" s="419">
        <f>SUMIFS(SX!X$2:X$19,SX!$B$2:$B$19,'chia CN SX'!$C49)</f>
        <v>0</v>
      </c>
      <c r="H49" s="419">
        <f>SUMIFS(SX!Y$2:Y$19,SX!$B$2:$B$19,'chia CN SX'!$C49)</f>
        <v>0</v>
      </c>
      <c r="I49" s="419">
        <f>SUMIFS(SX!Z$2:Z$19,SX!$B$2:$B$19,'chia CN SX'!$C49)</f>
        <v>0</v>
      </c>
      <c r="J49" s="419">
        <f>SUMIFS(SX!AA$2:AA$19,SX!$B$2:$B$19,'chia CN SX'!$C49)</f>
        <v>0</v>
      </c>
      <c r="K49" s="419">
        <f>SUMIFS(SX!AB$2:AB$19,SX!$B$2:$B$19,'chia CN SX'!$C49)</f>
        <v>0</v>
      </c>
      <c r="L49" s="419">
        <f>SUMIFS(SX!AC$2:AC$19,SX!$B$2:$B$19,'chia CN SX'!$C49)</f>
        <v>0</v>
      </c>
      <c r="M49" s="419">
        <f>SUMIFS(SX!AD$2:AD$19,SX!$B$2:$B$19,'chia CN SX'!$C49)</f>
        <v>0</v>
      </c>
      <c r="N49" s="419">
        <f>SUMIFS(SX!AE$2:AE$19,SX!$B$2:$B$19,'chia CN SX'!$C49)</f>
        <v>0</v>
      </c>
      <c r="O49" s="419">
        <f>SUMIFS(SX!AF$2:AF$19,SX!$B$2:$B$19,'chia CN SX'!$C49)</f>
        <v>0</v>
      </c>
      <c r="P49" s="419">
        <f>SUMIFS(SX!AG$2:AG$19,SX!$B$2:$B$19,'chia CN SX'!$C49)</f>
        <v>0</v>
      </c>
      <c r="Q49" s="419">
        <f>SUMIFS(SX!AH$2:AH$19,SX!$B$2:$B$19,'chia CN SX'!$C49)</f>
        <v>0</v>
      </c>
      <c r="R49" s="419">
        <f>SUMIFS(SX!AI$2:AI$19,SX!$B$2:$B$19,'chia CN SX'!$C49)</f>
        <v>0</v>
      </c>
      <c r="S49" s="419">
        <f>SUMIFS(SX!AJ$2:AJ$19,SX!$B$2:$B$19,'chia CN SX'!$C49)</f>
        <v>0</v>
      </c>
      <c r="V49" s="545" t="e">
        <f>'chia CN boc xe'!U49</f>
        <v>#REF!</v>
      </c>
      <c r="W49" s="81">
        <f t="shared" si="48"/>
        <v>0</v>
      </c>
      <c r="X49" s="81">
        <f t="shared" si="34"/>
        <v>0</v>
      </c>
      <c r="Y49" s="81">
        <f t="shared" si="35"/>
        <v>0</v>
      </c>
      <c r="Z49" s="81">
        <f t="shared" si="36"/>
        <v>0</v>
      </c>
      <c r="AA49" s="81">
        <f t="shared" si="37"/>
        <v>0</v>
      </c>
      <c r="AB49" s="81">
        <f t="shared" si="38"/>
        <v>0</v>
      </c>
      <c r="AC49" s="81">
        <f t="shared" si="39"/>
        <v>0</v>
      </c>
      <c r="AD49" s="81">
        <f t="shared" si="40"/>
        <v>0</v>
      </c>
      <c r="AE49" s="81">
        <f t="shared" si="41"/>
        <v>0</v>
      </c>
      <c r="AF49" s="81">
        <f t="shared" si="42"/>
        <v>0</v>
      </c>
      <c r="AG49" s="81">
        <f t="shared" si="43"/>
        <v>0</v>
      </c>
      <c r="AH49" s="81">
        <f t="shared" si="44"/>
        <v>0</v>
      </c>
      <c r="AI49" s="81">
        <f t="shared" si="45"/>
        <v>0</v>
      </c>
      <c r="AJ49" s="81">
        <f t="shared" si="46"/>
        <v>0</v>
      </c>
      <c r="AK49" s="81">
        <f t="shared" si="47"/>
        <v>0</v>
      </c>
    </row>
    <row r="50" spans="1:37">
      <c r="A50" s="421">
        <f t="shared" si="16"/>
        <v>48</v>
      </c>
      <c r="B50" s="331"/>
      <c r="C50" s="421"/>
      <c r="D50" s="419">
        <f>SUMIFS(SX!U$2:U$19,SX!$B$2:$B$19,'chia CN SX'!$C50)</f>
        <v>0</v>
      </c>
      <c r="E50" s="419">
        <f>SUMIFS(SX!V$2:V$19,SX!$B$2:$B$19,'chia CN SX'!$C50)</f>
        <v>0</v>
      </c>
      <c r="F50" s="419">
        <f>SUMIFS(SX!W$2:W$19,SX!$B$2:$B$19,'chia CN SX'!$C50)</f>
        <v>0</v>
      </c>
      <c r="G50" s="419">
        <f>SUMIFS(SX!X$2:X$19,SX!$B$2:$B$19,'chia CN SX'!$C50)</f>
        <v>0</v>
      </c>
      <c r="H50" s="419">
        <f>SUMIFS(SX!Y$2:Y$19,SX!$B$2:$B$19,'chia CN SX'!$C50)</f>
        <v>0</v>
      </c>
      <c r="I50" s="419">
        <f>SUMIFS(SX!Z$2:Z$19,SX!$B$2:$B$19,'chia CN SX'!$C50)</f>
        <v>0</v>
      </c>
      <c r="J50" s="419">
        <f>SUMIFS(SX!AA$2:AA$19,SX!$B$2:$B$19,'chia CN SX'!$C50)</f>
        <v>0</v>
      </c>
      <c r="K50" s="419">
        <f>SUMIFS(SX!AB$2:AB$19,SX!$B$2:$B$19,'chia CN SX'!$C50)</f>
        <v>0</v>
      </c>
      <c r="L50" s="419">
        <f>SUMIFS(SX!AC$2:AC$19,SX!$B$2:$B$19,'chia CN SX'!$C50)</f>
        <v>0</v>
      </c>
      <c r="M50" s="419">
        <f>SUMIFS(SX!AD$2:AD$19,SX!$B$2:$B$19,'chia CN SX'!$C50)</f>
        <v>0</v>
      </c>
      <c r="N50" s="419">
        <f>SUMIFS(SX!AE$2:AE$19,SX!$B$2:$B$19,'chia CN SX'!$C50)</f>
        <v>0</v>
      </c>
      <c r="O50" s="419">
        <f>SUMIFS(SX!AF$2:AF$19,SX!$B$2:$B$19,'chia CN SX'!$C50)</f>
        <v>0</v>
      </c>
      <c r="P50" s="419">
        <f>SUMIFS(SX!AG$2:AG$19,SX!$B$2:$B$19,'chia CN SX'!$C50)</f>
        <v>0</v>
      </c>
      <c r="Q50" s="419">
        <f>SUMIFS(SX!AH$2:AH$19,SX!$B$2:$B$19,'chia CN SX'!$C50)</f>
        <v>0</v>
      </c>
      <c r="R50" s="419">
        <f>SUMIFS(SX!AI$2:AI$19,SX!$B$2:$B$19,'chia CN SX'!$C50)</f>
        <v>0</v>
      </c>
      <c r="S50" s="419">
        <f>SUMIFS(SX!AJ$2:AJ$19,SX!$B$2:$B$19,'chia CN SX'!$C50)</f>
        <v>0</v>
      </c>
      <c r="V50" s="546" t="e">
        <f>'chia CN boc xe'!U50</f>
        <v>#REF!</v>
      </c>
      <c r="W50" s="81">
        <f t="shared" si="48"/>
        <v>0</v>
      </c>
      <c r="X50" s="81">
        <f t="shared" si="34"/>
        <v>0</v>
      </c>
      <c r="Y50" s="81">
        <f t="shared" si="35"/>
        <v>0</v>
      </c>
      <c r="Z50" s="81">
        <f t="shared" si="36"/>
        <v>0</v>
      </c>
      <c r="AA50" s="81">
        <f t="shared" si="37"/>
        <v>0</v>
      </c>
      <c r="AB50" s="81">
        <f t="shared" si="38"/>
        <v>0</v>
      </c>
      <c r="AC50" s="81">
        <f t="shared" si="39"/>
        <v>0</v>
      </c>
      <c r="AD50" s="81">
        <f t="shared" si="40"/>
        <v>0</v>
      </c>
      <c r="AE50" s="81">
        <f t="shared" si="41"/>
        <v>0</v>
      </c>
      <c r="AF50" s="81">
        <f t="shared" si="42"/>
        <v>0</v>
      </c>
      <c r="AG50" s="81">
        <f t="shared" si="43"/>
        <v>0</v>
      </c>
      <c r="AH50" s="81">
        <f t="shared" si="44"/>
        <v>0</v>
      </c>
      <c r="AI50" s="81">
        <f t="shared" si="45"/>
        <v>0</v>
      </c>
      <c r="AJ50" s="81">
        <f t="shared" si="46"/>
        <v>0</v>
      </c>
      <c r="AK50" s="81">
        <f t="shared" si="47"/>
        <v>0</v>
      </c>
    </row>
    <row r="51" spans="1:37">
      <c r="A51" s="421">
        <f t="shared" si="16"/>
        <v>49</v>
      </c>
      <c r="B51" s="331"/>
      <c r="C51" s="421"/>
      <c r="D51" s="419">
        <f>SUMIFS(SX!U$2:U$19,SX!$B$2:$B$19,'chia CN SX'!$C51)</f>
        <v>0</v>
      </c>
      <c r="E51" s="419">
        <f>SUMIFS(SX!V$2:V$19,SX!$B$2:$B$19,'chia CN SX'!$C51)</f>
        <v>0</v>
      </c>
      <c r="F51" s="419">
        <f>SUMIFS(SX!W$2:W$19,SX!$B$2:$B$19,'chia CN SX'!$C51)</f>
        <v>0</v>
      </c>
      <c r="G51" s="419">
        <f>SUMIFS(SX!X$2:X$19,SX!$B$2:$B$19,'chia CN SX'!$C51)</f>
        <v>0</v>
      </c>
      <c r="H51" s="419">
        <f>SUMIFS(SX!Y$2:Y$19,SX!$B$2:$B$19,'chia CN SX'!$C51)</f>
        <v>0</v>
      </c>
      <c r="I51" s="419">
        <f>SUMIFS(SX!Z$2:Z$19,SX!$B$2:$B$19,'chia CN SX'!$C51)</f>
        <v>0</v>
      </c>
      <c r="J51" s="419">
        <f>SUMIFS(SX!AA$2:AA$19,SX!$B$2:$B$19,'chia CN SX'!$C51)</f>
        <v>0</v>
      </c>
      <c r="K51" s="419">
        <f>SUMIFS(SX!AB$2:AB$19,SX!$B$2:$B$19,'chia CN SX'!$C51)</f>
        <v>0</v>
      </c>
      <c r="L51" s="419">
        <f>SUMIFS(SX!AC$2:AC$19,SX!$B$2:$B$19,'chia CN SX'!$C51)</f>
        <v>0</v>
      </c>
      <c r="M51" s="419">
        <f>SUMIFS(SX!AD$2:AD$19,SX!$B$2:$B$19,'chia CN SX'!$C51)</f>
        <v>0</v>
      </c>
      <c r="N51" s="419">
        <f>SUMIFS(SX!AE$2:AE$19,SX!$B$2:$B$19,'chia CN SX'!$C51)</f>
        <v>0</v>
      </c>
      <c r="O51" s="419">
        <f>SUMIFS(SX!AF$2:AF$19,SX!$B$2:$B$19,'chia CN SX'!$C51)</f>
        <v>0</v>
      </c>
      <c r="P51" s="419">
        <f>SUMIFS(SX!AG$2:AG$19,SX!$B$2:$B$19,'chia CN SX'!$C51)</f>
        <v>0</v>
      </c>
      <c r="Q51" s="419">
        <f>SUMIFS(SX!AH$2:AH$19,SX!$B$2:$B$19,'chia CN SX'!$C51)</f>
        <v>0</v>
      </c>
      <c r="R51" s="419">
        <f>SUMIFS(SX!AI$2:AI$19,SX!$B$2:$B$19,'chia CN SX'!$C51)</f>
        <v>0</v>
      </c>
      <c r="S51" s="419">
        <f>SUMIFS(SX!AJ$2:AJ$19,SX!$B$2:$B$19,'chia CN SX'!$C51)</f>
        <v>0</v>
      </c>
      <c r="V51" s="80" t="e">
        <f>'chia CN boc xe'!U51</f>
        <v>#REF!</v>
      </c>
      <c r="W51" s="81">
        <f t="shared" si="48"/>
        <v>0</v>
      </c>
      <c r="X51" s="81">
        <f t="shared" si="34"/>
        <v>0</v>
      </c>
      <c r="Y51" s="81">
        <f t="shared" si="35"/>
        <v>0</v>
      </c>
      <c r="Z51" s="81">
        <f t="shared" si="36"/>
        <v>0</v>
      </c>
      <c r="AA51" s="81">
        <f t="shared" si="37"/>
        <v>0</v>
      </c>
      <c r="AB51" s="81">
        <f t="shared" si="38"/>
        <v>0</v>
      </c>
      <c r="AC51" s="81">
        <f t="shared" si="39"/>
        <v>0</v>
      </c>
      <c r="AD51" s="81">
        <f t="shared" si="40"/>
        <v>0</v>
      </c>
      <c r="AE51" s="81">
        <f t="shared" si="41"/>
        <v>0</v>
      </c>
      <c r="AF51" s="81">
        <f t="shared" si="42"/>
        <v>0</v>
      </c>
      <c r="AG51" s="81">
        <f t="shared" si="43"/>
        <v>0</v>
      </c>
      <c r="AH51" s="81">
        <f t="shared" si="44"/>
        <v>0</v>
      </c>
      <c r="AI51" s="81">
        <f t="shared" si="45"/>
        <v>0</v>
      </c>
      <c r="AJ51" s="81">
        <f t="shared" si="46"/>
        <v>0</v>
      </c>
      <c r="AK51" s="81">
        <f t="shared" si="47"/>
        <v>0</v>
      </c>
    </row>
    <row r="52" spans="1:37">
      <c r="A52" s="421">
        <f t="shared" si="16"/>
        <v>50</v>
      </c>
      <c r="B52" s="331"/>
      <c r="C52" s="421"/>
      <c r="D52" s="419">
        <f>SUMIFS(SX!U$2:U$19,SX!$B$2:$B$19,'chia CN SX'!$C52)</f>
        <v>0</v>
      </c>
      <c r="E52" s="419">
        <f>SUMIFS(SX!V$2:V$19,SX!$B$2:$B$19,'chia CN SX'!$C52)</f>
        <v>0</v>
      </c>
      <c r="F52" s="419">
        <f>SUMIFS(SX!W$2:W$19,SX!$B$2:$B$19,'chia CN SX'!$C52)</f>
        <v>0</v>
      </c>
      <c r="G52" s="419">
        <f>SUMIFS(SX!X$2:X$19,SX!$B$2:$B$19,'chia CN SX'!$C52)</f>
        <v>0</v>
      </c>
      <c r="H52" s="419">
        <f>SUMIFS(SX!Y$2:Y$19,SX!$B$2:$B$19,'chia CN SX'!$C52)</f>
        <v>0</v>
      </c>
      <c r="I52" s="419">
        <f>SUMIFS(SX!Z$2:Z$19,SX!$B$2:$B$19,'chia CN SX'!$C52)</f>
        <v>0</v>
      </c>
      <c r="J52" s="419">
        <f>SUMIFS(SX!AA$2:AA$19,SX!$B$2:$B$19,'chia CN SX'!$C52)</f>
        <v>0</v>
      </c>
      <c r="K52" s="419">
        <f>SUMIFS(SX!AB$2:AB$19,SX!$B$2:$B$19,'chia CN SX'!$C52)</f>
        <v>0</v>
      </c>
      <c r="L52" s="419">
        <f>SUMIFS(SX!AC$2:AC$19,SX!$B$2:$B$19,'chia CN SX'!$C52)</f>
        <v>0</v>
      </c>
      <c r="M52" s="419">
        <f>SUMIFS(SX!AD$2:AD$19,SX!$B$2:$B$19,'chia CN SX'!$C52)</f>
        <v>0</v>
      </c>
      <c r="N52" s="419">
        <f>SUMIFS(SX!AE$2:AE$19,SX!$B$2:$B$19,'chia CN SX'!$C52)</f>
        <v>0</v>
      </c>
      <c r="O52" s="419">
        <f>SUMIFS(SX!AF$2:AF$19,SX!$B$2:$B$19,'chia CN SX'!$C52)</f>
        <v>0</v>
      </c>
      <c r="P52" s="419">
        <f>SUMIFS(SX!AG$2:AG$19,SX!$B$2:$B$19,'chia CN SX'!$C52)</f>
        <v>0</v>
      </c>
      <c r="Q52" s="419">
        <f>SUMIFS(SX!AH$2:AH$19,SX!$B$2:$B$19,'chia CN SX'!$C52)</f>
        <v>0</v>
      </c>
      <c r="R52" s="419">
        <f>SUMIFS(SX!AI$2:AI$19,SX!$B$2:$B$19,'chia CN SX'!$C52)</f>
        <v>0</v>
      </c>
      <c r="S52" s="419">
        <f>SUMIFS(SX!AJ$2:AJ$19,SX!$B$2:$B$19,'chia CN SX'!$C52)</f>
        <v>0</v>
      </c>
      <c r="V52" s="80" t="e">
        <f>'chia CN boc xe'!U52</f>
        <v>#REF!</v>
      </c>
      <c r="W52" s="81">
        <f t="shared" si="48"/>
        <v>0</v>
      </c>
      <c r="X52" s="81">
        <f t="shared" si="34"/>
        <v>0</v>
      </c>
      <c r="Y52" s="81">
        <f t="shared" si="35"/>
        <v>0</v>
      </c>
      <c r="Z52" s="81">
        <f t="shared" si="36"/>
        <v>0</v>
      </c>
      <c r="AA52" s="81">
        <f t="shared" si="37"/>
        <v>0</v>
      </c>
      <c r="AB52" s="81">
        <f t="shared" si="38"/>
        <v>0</v>
      </c>
      <c r="AC52" s="81">
        <f t="shared" si="39"/>
        <v>0</v>
      </c>
      <c r="AD52" s="81">
        <f t="shared" si="40"/>
        <v>0</v>
      </c>
      <c r="AE52" s="81">
        <f t="shared" si="41"/>
        <v>0</v>
      </c>
      <c r="AF52" s="81">
        <f t="shared" si="42"/>
        <v>0</v>
      </c>
      <c r="AG52" s="81">
        <f t="shared" si="43"/>
        <v>0</v>
      </c>
      <c r="AH52" s="81">
        <f t="shared" si="44"/>
        <v>0</v>
      </c>
      <c r="AI52" s="81">
        <f t="shared" si="45"/>
        <v>0</v>
      </c>
      <c r="AJ52" s="81">
        <f t="shared" si="46"/>
        <v>0</v>
      </c>
      <c r="AK52" s="81">
        <f t="shared" si="47"/>
        <v>0</v>
      </c>
    </row>
    <row r="53" spans="1:37">
      <c r="A53" s="421">
        <f t="shared" si="16"/>
        <v>51</v>
      </c>
      <c r="B53" s="331"/>
      <c r="C53" s="421"/>
      <c r="D53" s="419">
        <f>SUMIFS(SX!U$2:U$19,SX!$B$2:$B$19,'chia CN SX'!$C53)</f>
        <v>0</v>
      </c>
      <c r="E53" s="419">
        <f>SUMIFS(SX!V$2:V$19,SX!$B$2:$B$19,'chia CN SX'!$C53)</f>
        <v>0</v>
      </c>
      <c r="F53" s="419">
        <f>SUMIFS(SX!W$2:W$19,SX!$B$2:$B$19,'chia CN SX'!$C53)</f>
        <v>0</v>
      </c>
      <c r="G53" s="419">
        <f>SUMIFS(SX!X$2:X$19,SX!$B$2:$B$19,'chia CN SX'!$C53)</f>
        <v>0</v>
      </c>
      <c r="H53" s="419">
        <f>SUMIFS(SX!Y$2:Y$19,SX!$B$2:$B$19,'chia CN SX'!$C53)</f>
        <v>0</v>
      </c>
      <c r="I53" s="419">
        <f>SUMIFS(SX!Z$2:Z$19,SX!$B$2:$B$19,'chia CN SX'!$C53)</f>
        <v>0</v>
      </c>
      <c r="J53" s="419">
        <f>SUMIFS(SX!AA$2:AA$19,SX!$B$2:$B$19,'chia CN SX'!$C53)</f>
        <v>0</v>
      </c>
      <c r="K53" s="419">
        <f>SUMIFS(SX!AB$2:AB$19,SX!$B$2:$B$19,'chia CN SX'!$C53)</f>
        <v>0</v>
      </c>
      <c r="L53" s="419">
        <f>SUMIFS(SX!AC$2:AC$19,SX!$B$2:$B$19,'chia CN SX'!$C53)</f>
        <v>0</v>
      </c>
      <c r="M53" s="419">
        <f>SUMIFS(SX!AD$2:AD$19,SX!$B$2:$B$19,'chia CN SX'!$C53)</f>
        <v>0</v>
      </c>
      <c r="N53" s="419">
        <f>SUMIFS(SX!AE$2:AE$19,SX!$B$2:$B$19,'chia CN SX'!$C53)</f>
        <v>0</v>
      </c>
      <c r="O53" s="419">
        <f>SUMIFS(SX!AF$2:AF$19,SX!$B$2:$B$19,'chia CN SX'!$C53)</f>
        <v>0</v>
      </c>
      <c r="P53" s="419">
        <f>SUMIFS(SX!AG$2:AG$19,SX!$B$2:$B$19,'chia CN SX'!$C53)</f>
        <v>0</v>
      </c>
      <c r="Q53" s="419">
        <f>SUMIFS(SX!AH$2:AH$19,SX!$B$2:$B$19,'chia CN SX'!$C53)</f>
        <v>0</v>
      </c>
      <c r="R53" s="419">
        <f>SUMIFS(SX!AI$2:AI$19,SX!$B$2:$B$19,'chia CN SX'!$C53)</f>
        <v>0</v>
      </c>
      <c r="S53" s="419">
        <f>SUMIFS(SX!AJ$2:AJ$19,SX!$B$2:$B$19,'chia CN SX'!$C53)</f>
        <v>0</v>
      </c>
      <c r="V53" s="546" t="e">
        <f>'chia CN boc xe'!U53</f>
        <v>#REF!</v>
      </c>
      <c r="W53" s="81">
        <f>SUMIF($B$3:$B$114,$V53,D$3:D$114)</f>
        <v>0</v>
      </c>
      <c r="X53" s="81">
        <f t="shared" si="34"/>
        <v>0</v>
      </c>
      <c r="Y53" s="81">
        <f t="shared" si="35"/>
        <v>0</v>
      </c>
      <c r="Z53" s="81">
        <f t="shared" si="36"/>
        <v>0</v>
      </c>
      <c r="AA53" s="81">
        <f t="shared" si="37"/>
        <v>0</v>
      </c>
      <c r="AB53" s="81">
        <f t="shared" si="38"/>
        <v>0</v>
      </c>
      <c r="AC53" s="81">
        <f t="shared" si="39"/>
        <v>0</v>
      </c>
      <c r="AD53" s="81">
        <f t="shared" si="40"/>
        <v>0</v>
      </c>
      <c r="AE53" s="81">
        <f t="shared" si="41"/>
        <v>0</v>
      </c>
      <c r="AF53" s="81">
        <f t="shared" si="42"/>
        <v>0</v>
      </c>
      <c r="AG53" s="81">
        <f t="shared" si="43"/>
        <v>0</v>
      </c>
      <c r="AH53" s="81">
        <f t="shared" si="44"/>
        <v>0</v>
      </c>
      <c r="AI53" s="81">
        <f t="shared" si="45"/>
        <v>0</v>
      </c>
      <c r="AJ53" s="81">
        <f t="shared" si="46"/>
        <v>0</v>
      </c>
      <c r="AK53" s="81">
        <f t="shared" si="47"/>
        <v>0</v>
      </c>
    </row>
    <row r="54" spans="1:37">
      <c r="A54" s="421">
        <f t="shared" si="16"/>
        <v>52</v>
      </c>
      <c r="B54" s="331"/>
      <c r="C54" s="421"/>
      <c r="D54" s="419">
        <f>SUMIFS(SX!U$2:U$19,SX!$B$2:$B$19,'chia CN SX'!$C54)</f>
        <v>0</v>
      </c>
      <c r="E54" s="419">
        <f>SUMIFS(SX!V$2:V$19,SX!$B$2:$B$19,'chia CN SX'!$C54)</f>
        <v>0</v>
      </c>
      <c r="F54" s="419">
        <f>SUMIFS(SX!W$2:W$19,SX!$B$2:$B$19,'chia CN SX'!$C54)</f>
        <v>0</v>
      </c>
      <c r="G54" s="419">
        <f>SUMIFS(SX!X$2:X$19,SX!$B$2:$B$19,'chia CN SX'!$C54)</f>
        <v>0</v>
      </c>
      <c r="H54" s="419">
        <f>SUMIFS(SX!Y$2:Y$19,SX!$B$2:$B$19,'chia CN SX'!$C54)</f>
        <v>0</v>
      </c>
      <c r="I54" s="419">
        <f>SUMIFS(SX!Z$2:Z$19,SX!$B$2:$B$19,'chia CN SX'!$C54)</f>
        <v>0</v>
      </c>
      <c r="J54" s="419">
        <f>SUMIFS(SX!AA$2:AA$19,SX!$B$2:$B$19,'chia CN SX'!$C54)</f>
        <v>0</v>
      </c>
      <c r="K54" s="419">
        <f>SUMIFS(SX!AB$2:AB$19,SX!$B$2:$B$19,'chia CN SX'!$C54)</f>
        <v>0</v>
      </c>
      <c r="L54" s="419">
        <f>SUMIFS(SX!AC$2:AC$19,SX!$B$2:$B$19,'chia CN SX'!$C54)</f>
        <v>0</v>
      </c>
      <c r="M54" s="419">
        <f>SUMIFS(SX!AD$2:AD$19,SX!$B$2:$B$19,'chia CN SX'!$C54)</f>
        <v>0</v>
      </c>
      <c r="N54" s="419">
        <f>SUMIFS(SX!AE$2:AE$19,SX!$B$2:$B$19,'chia CN SX'!$C54)</f>
        <v>0</v>
      </c>
      <c r="O54" s="419">
        <f>SUMIFS(SX!AF$2:AF$19,SX!$B$2:$B$19,'chia CN SX'!$C54)</f>
        <v>0</v>
      </c>
      <c r="P54" s="419">
        <f>SUMIFS(SX!AG$2:AG$19,SX!$B$2:$B$19,'chia CN SX'!$C54)</f>
        <v>0</v>
      </c>
      <c r="Q54" s="419">
        <f>SUMIFS(SX!AH$2:AH$19,SX!$B$2:$B$19,'chia CN SX'!$C54)</f>
        <v>0</v>
      </c>
      <c r="R54" s="419">
        <f>SUMIFS(SX!AI$2:AI$19,SX!$B$2:$B$19,'chia CN SX'!$C54)</f>
        <v>0</v>
      </c>
      <c r="S54" s="419">
        <f>SUMIFS(SX!AJ$2:AJ$19,SX!$B$2:$B$19,'chia CN SX'!$C54)</f>
        <v>0</v>
      </c>
      <c r="V54" s="545" t="e">
        <f>'chia CN boc xe'!U54</f>
        <v>#REF!</v>
      </c>
      <c r="W54" s="81">
        <f t="shared" ref="W54:W59" si="49">SUMIF($B$3:$B$114,$V54,D$3:D$114)</f>
        <v>0</v>
      </c>
      <c r="X54" s="81">
        <f t="shared" si="34"/>
        <v>0</v>
      </c>
      <c r="Y54" s="81">
        <f t="shared" si="35"/>
        <v>0</v>
      </c>
      <c r="Z54" s="81">
        <f t="shared" si="36"/>
        <v>0</v>
      </c>
      <c r="AA54" s="81">
        <f t="shared" si="37"/>
        <v>0</v>
      </c>
      <c r="AB54" s="81">
        <f t="shared" si="38"/>
        <v>0</v>
      </c>
      <c r="AC54" s="81">
        <f t="shared" si="39"/>
        <v>0</v>
      </c>
      <c r="AD54" s="81">
        <f t="shared" si="40"/>
        <v>0</v>
      </c>
      <c r="AE54" s="81">
        <f t="shared" si="41"/>
        <v>0</v>
      </c>
      <c r="AF54" s="81">
        <f t="shared" si="42"/>
        <v>0</v>
      </c>
      <c r="AG54" s="81">
        <f t="shared" si="43"/>
        <v>0</v>
      </c>
      <c r="AH54" s="81">
        <f t="shared" si="44"/>
        <v>0</v>
      </c>
      <c r="AI54" s="81">
        <f t="shared" si="45"/>
        <v>0</v>
      </c>
      <c r="AJ54" s="81">
        <f t="shared" si="46"/>
        <v>0</v>
      </c>
      <c r="AK54" s="81">
        <f t="shared" si="47"/>
        <v>0</v>
      </c>
    </row>
    <row r="55" spans="1:37">
      <c r="A55" s="421">
        <f t="shared" si="16"/>
        <v>53</v>
      </c>
      <c r="B55" s="331"/>
      <c r="C55" s="421"/>
      <c r="D55" s="419">
        <f>SUMIFS(SX!U$2:U$19,SX!$B$2:$B$19,'chia CN SX'!$C55)</f>
        <v>0</v>
      </c>
      <c r="E55" s="419">
        <f>SUMIFS(SX!V$2:V$19,SX!$B$2:$B$19,'chia CN SX'!$C55)</f>
        <v>0</v>
      </c>
      <c r="F55" s="419">
        <f>SUMIFS(SX!W$2:W$19,SX!$B$2:$B$19,'chia CN SX'!$C55)</f>
        <v>0</v>
      </c>
      <c r="G55" s="419">
        <f>SUMIFS(SX!X$2:X$19,SX!$B$2:$B$19,'chia CN SX'!$C55)</f>
        <v>0</v>
      </c>
      <c r="H55" s="419">
        <f>SUMIFS(SX!Y$2:Y$19,SX!$B$2:$B$19,'chia CN SX'!$C55)</f>
        <v>0</v>
      </c>
      <c r="I55" s="419">
        <f>SUMIFS(SX!Z$2:Z$19,SX!$B$2:$B$19,'chia CN SX'!$C55)</f>
        <v>0</v>
      </c>
      <c r="J55" s="419">
        <f>SUMIFS(SX!AA$2:AA$19,SX!$B$2:$B$19,'chia CN SX'!$C55)</f>
        <v>0</v>
      </c>
      <c r="K55" s="419">
        <f>SUMIFS(SX!AB$2:AB$19,SX!$B$2:$B$19,'chia CN SX'!$C55)</f>
        <v>0</v>
      </c>
      <c r="L55" s="419">
        <f>SUMIFS(SX!AC$2:AC$19,SX!$B$2:$B$19,'chia CN SX'!$C55)</f>
        <v>0</v>
      </c>
      <c r="M55" s="419">
        <f>SUMIFS(SX!AD$2:AD$19,SX!$B$2:$B$19,'chia CN SX'!$C55)</f>
        <v>0</v>
      </c>
      <c r="N55" s="419">
        <f>SUMIFS(SX!AE$2:AE$19,SX!$B$2:$B$19,'chia CN SX'!$C55)</f>
        <v>0</v>
      </c>
      <c r="O55" s="419">
        <f>SUMIFS(SX!AF$2:AF$19,SX!$B$2:$B$19,'chia CN SX'!$C55)</f>
        <v>0</v>
      </c>
      <c r="P55" s="419">
        <f>SUMIFS(SX!AG$2:AG$19,SX!$B$2:$B$19,'chia CN SX'!$C55)</f>
        <v>0</v>
      </c>
      <c r="Q55" s="419">
        <f>SUMIFS(SX!AH$2:AH$19,SX!$B$2:$B$19,'chia CN SX'!$C55)</f>
        <v>0</v>
      </c>
      <c r="R55" s="419">
        <f>SUMIFS(SX!AI$2:AI$19,SX!$B$2:$B$19,'chia CN SX'!$C55)</f>
        <v>0</v>
      </c>
      <c r="S55" s="419">
        <f>SUMIFS(SX!AJ$2:AJ$19,SX!$B$2:$B$19,'chia CN SX'!$C55)</f>
        <v>0</v>
      </c>
      <c r="V55" s="80" t="str">
        <f>'chia CN boc xe'!U55</f>
        <v>Trần văn Nguyện</v>
      </c>
      <c r="W55" s="81">
        <f t="shared" si="49"/>
        <v>0</v>
      </c>
      <c r="X55" s="81">
        <f t="shared" si="34"/>
        <v>0</v>
      </c>
      <c r="Y55" s="81">
        <f t="shared" si="35"/>
        <v>0</v>
      </c>
      <c r="Z55" s="81">
        <f t="shared" si="36"/>
        <v>0</v>
      </c>
      <c r="AA55" s="81">
        <f t="shared" si="37"/>
        <v>0</v>
      </c>
      <c r="AB55" s="81">
        <f t="shared" si="38"/>
        <v>0</v>
      </c>
      <c r="AC55" s="81">
        <f t="shared" si="39"/>
        <v>0</v>
      </c>
      <c r="AD55" s="81">
        <f t="shared" si="40"/>
        <v>0</v>
      </c>
      <c r="AE55" s="81">
        <f t="shared" si="41"/>
        <v>0</v>
      </c>
      <c r="AF55" s="81">
        <f t="shared" si="42"/>
        <v>0</v>
      </c>
      <c r="AG55" s="81">
        <f t="shared" si="43"/>
        <v>0</v>
      </c>
      <c r="AH55" s="81">
        <f t="shared" si="44"/>
        <v>0</v>
      </c>
      <c r="AI55" s="81">
        <f t="shared" si="45"/>
        <v>0</v>
      </c>
      <c r="AJ55" s="81">
        <f t="shared" si="46"/>
        <v>0</v>
      </c>
      <c r="AK55" s="81">
        <f t="shared" si="47"/>
        <v>0</v>
      </c>
    </row>
    <row r="56" spans="1:37">
      <c r="A56" s="421">
        <f t="shared" si="16"/>
        <v>54</v>
      </c>
      <c r="B56" s="331"/>
      <c r="C56" s="421"/>
      <c r="D56" s="419">
        <f>SUMIFS(SX!U$2:U$19,SX!$B$2:$B$19,'chia CN SX'!$C56)</f>
        <v>0</v>
      </c>
      <c r="E56" s="419">
        <f>SUMIFS(SX!V$2:V$19,SX!$B$2:$B$19,'chia CN SX'!$C56)</f>
        <v>0</v>
      </c>
      <c r="F56" s="419">
        <f>SUMIFS(SX!W$2:W$19,SX!$B$2:$B$19,'chia CN SX'!$C56)</f>
        <v>0</v>
      </c>
      <c r="G56" s="419">
        <f>SUMIFS(SX!X$2:X$19,SX!$B$2:$B$19,'chia CN SX'!$C56)</f>
        <v>0</v>
      </c>
      <c r="H56" s="419">
        <f>SUMIFS(SX!Y$2:Y$19,SX!$B$2:$B$19,'chia CN SX'!$C56)</f>
        <v>0</v>
      </c>
      <c r="I56" s="419">
        <f>SUMIFS(SX!Z$2:Z$19,SX!$B$2:$B$19,'chia CN SX'!$C56)</f>
        <v>0</v>
      </c>
      <c r="J56" s="419">
        <f>SUMIFS(SX!AA$2:AA$19,SX!$B$2:$B$19,'chia CN SX'!$C56)</f>
        <v>0</v>
      </c>
      <c r="K56" s="419">
        <f>SUMIFS(SX!AB$2:AB$19,SX!$B$2:$B$19,'chia CN SX'!$C56)</f>
        <v>0</v>
      </c>
      <c r="L56" s="419">
        <f>SUMIFS(SX!AC$2:AC$19,SX!$B$2:$B$19,'chia CN SX'!$C56)</f>
        <v>0</v>
      </c>
      <c r="M56" s="419">
        <f>SUMIFS(SX!AD$2:AD$19,SX!$B$2:$B$19,'chia CN SX'!$C56)</f>
        <v>0</v>
      </c>
      <c r="N56" s="419">
        <f>SUMIFS(SX!AE$2:AE$19,SX!$B$2:$B$19,'chia CN SX'!$C56)</f>
        <v>0</v>
      </c>
      <c r="O56" s="419">
        <f>SUMIFS(SX!AF$2:AF$19,SX!$B$2:$B$19,'chia CN SX'!$C56)</f>
        <v>0</v>
      </c>
      <c r="P56" s="419">
        <f>SUMIFS(SX!AG$2:AG$19,SX!$B$2:$B$19,'chia CN SX'!$C56)</f>
        <v>0</v>
      </c>
      <c r="Q56" s="419">
        <f>SUMIFS(SX!AH$2:AH$19,SX!$B$2:$B$19,'chia CN SX'!$C56)</f>
        <v>0</v>
      </c>
      <c r="R56" s="419">
        <f>SUMIFS(SX!AI$2:AI$19,SX!$B$2:$B$19,'chia CN SX'!$C56)</f>
        <v>0</v>
      </c>
      <c r="S56" s="419">
        <f>SUMIFS(SX!AJ$2:AJ$19,SX!$B$2:$B$19,'chia CN SX'!$C56)</f>
        <v>0</v>
      </c>
      <c r="V56" s="546" t="e">
        <f>'chia CN boc xe'!U56</f>
        <v>#REF!</v>
      </c>
      <c r="W56" s="81">
        <f t="shared" si="49"/>
        <v>0</v>
      </c>
      <c r="X56" s="81">
        <f t="shared" si="34"/>
        <v>0</v>
      </c>
      <c r="Y56" s="81">
        <f t="shared" si="35"/>
        <v>0</v>
      </c>
      <c r="Z56" s="81">
        <f t="shared" si="36"/>
        <v>0</v>
      </c>
      <c r="AA56" s="81">
        <f t="shared" si="37"/>
        <v>0</v>
      </c>
      <c r="AB56" s="81">
        <f t="shared" si="38"/>
        <v>0</v>
      </c>
      <c r="AC56" s="81">
        <f t="shared" si="39"/>
        <v>0</v>
      </c>
      <c r="AD56" s="81">
        <f t="shared" si="40"/>
        <v>0</v>
      </c>
      <c r="AE56" s="81">
        <f t="shared" si="41"/>
        <v>0</v>
      </c>
      <c r="AF56" s="81">
        <f t="shared" si="42"/>
        <v>0</v>
      </c>
      <c r="AG56" s="81">
        <f t="shared" si="43"/>
        <v>0</v>
      </c>
      <c r="AH56" s="81">
        <f t="shared" si="44"/>
        <v>0</v>
      </c>
      <c r="AI56" s="81">
        <f t="shared" si="45"/>
        <v>0</v>
      </c>
      <c r="AJ56" s="81">
        <f t="shared" si="46"/>
        <v>0</v>
      </c>
      <c r="AK56" s="81">
        <f t="shared" si="47"/>
        <v>0</v>
      </c>
    </row>
    <row r="57" spans="1:37">
      <c r="A57" s="421">
        <f t="shared" si="16"/>
        <v>55</v>
      </c>
      <c r="B57" s="331"/>
      <c r="C57" s="35"/>
      <c r="D57" s="419">
        <f>SUMIFS(SX!U$2:U$19,SX!$B$2:$B$19,'chia CN SX'!$C57)</f>
        <v>0</v>
      </c>
      <c r="E57" s="419">
        <f>SUMIFS(SX!V$2:V$19,SX!$B$2:$B$19,'chia CN SX'!$C57)</f>
        <v>0</v>
      </c>
      <c r="F57" s="419">
        <f>SUMIFS(SX!W$2:W$19,SX!$B$2:$B$19,'chia CN SX'!$C57)</f>
        <v>0</v>
      </c>
      <c r="G57" s="419">
        <f>SUMIFS(SX!X$2:X$19,SX!$B$2:$B$19,'chia CN SX'!$C57)</f>
        <v>0</v>
      </c>
      <c r="H57" s="419">
        <f>SUMIFS(SX!Y$2:Y$19,SX!$B$2:$B$19,'chia CN SX'!$C57)</f>
        <v>0</v>
      </c>
      <c r="I57" s="419">
        <f>SUMIFS(SX!Z$2:Z$19,SX!$B$2:$B$19,'chia CN SX'!$C57)</f>
        <v>0</v>
      </c>
      <c r="J57" s="419">
        <f>SUMIFS(SX!AA$2:AA$19,SX!$B$2:$B$19,'chia CN SX'!$C57)</f>
        <v>0</v>
      </c>
      <c r="K57" s="419">
        <f>SUMIFS(SX!AB$2:AB$19,SX!$B$2:$B$19,'chia CN SX'!$C57)</f>
        <v>0</v>
      </c>
      <c r="L57" s="419">
        <f>SUMIFS(SX!AC$2:AC$19,SX!$B$2:$B$19,'chia CN SX'!$C57)</f>
        <v>0</v>
      </c>
      <c r="M57" s="419">
        <f>SUMIFS(SX!AD$2:AD$19,SX!$B$2:$B$19,'chia CN SX'!$C57)</f>
        <v>0</v>
      </c>
      <c r="N57" s="419">
        <f>SUMIFS(SX!AE$2:AE$19,SX!$B$2:$B$19,'chia CN SX'!$C57)</f>
        <v>0</v>
      </c>
      <c r="O57" s="419">
        <f>SUMIFS(SX!AF$2:AF$19,SX!$B$2:$B$19,'chia CN SX'!$C57)</f>
        <v>0</v>
      </c>
      <c r="P57" s="419">
        <f>SUMIFS(SX!AG$2:AG$19,SX!$B$2:$B$19,'chia CN SX'!$C57)</f>
        <v>0</v>
      </c>
      <c r="Q57" s="419">
        <f>SUMIFS(SX!AH$2:AH$19,SX!$B$2:$B$19,'chia CN SX'!$C57)</f>
        <v>0</v>
      </c>
      <c r="R57" s="419">
        <f>SUMIFS(SX!AI$2:AI$19,SX!$B$2:$B$19,'chia CN SX'!$C57)</f>
        <v>0</v>
      </c>
      <c r="S57" s="419">
        <f>SUMIFS(SX!AJ$2:AJ$19,SX!$B$2:$B$19,'chia CN SX'!$C57)</f>
        <v>0</v>
      </c>
      <c r="V57" s="546" t="e">
        <f>'chia CN boc xe'!U57</f>
        <v>#REF!</v>
      </c>
      <c r="W57" s="81">
        <f t="shared" si="49"/>
        <v>0</v>
      </c>
      <c r="X57" s="81">
        <f t="shared" si="34"/>
        <v>0</v>
      </c>
      <c r="Y57" s="81">
        <f t="shared" si="35"/>
        <v>0</v>
      </c>
      <c r="Z57" s="81">
        <f t="shared" si="36"/>
        <v>0</v>
      </c>
      <c r="AA57" s="81">
        <f t="shared" si="37"/>
        <v>0</v>
      </c>
      <c r="AB57" s="81">
        <f t="shared" si="38"/>
        <v>0</v>
      </c>
      <c r="AC57" s="81">
        <f t="shared" si="39"/>
        <v>0</v>
      </c>
      <c r="AD57" s="81">
        <f t="shared" si="40"/>
        <v>0</v>
      </c>
      <c r="AE57" s="81">
        <f t="shared" si="41"/>
        <v>0</v>
      </c>
      <c r="AF57" s="81">
        <f t="shared" si="42"/>
        <v>0</v>
      </c>
      <c r="AG57" s="81">
        <f t="shared" si="43"/>
        <v>0</v>
      </c>
      <c r="AH57" s="81">
        <f t="shared" si="44"/>
        <v>0</v>
      </c>
      <c r="AI57" s="81">
        <f t="shared" si="45"/>
        <v>0</v>
      </c>
      <c r="AJ57" s="81">
        <f t="shared" si="46"/>
        <v>0</v>
      </c>
      <c r="AK57" s="81">
        <f t="shared" si="47"/>
        <v>0</v>
      </c>
    </row>
    <row r="58" spans="1:37">
      <c r="A58" s="421">
        <f t="shared" si="16"/>
        <v>56</v>
      </c>
      <c r="B58" s="331"/>
      <c r="C58" s="35"/>
      <c r="D58" s="419">
        <f>SUMIFS(SX!U$2:U$19,SX!$B$2:$B$19,'chia CN SX'!$C58)</f>
        <v>0</v>
      </c>
      <c r="E58" s="419">
        <f>SUMIFS(SX!V$2:V$19,SX!$B$2:$B$19,'chia CN SX'!$C58)</f>
        <v>0</v>
      </c>
      <c r="F58" s="419">
        <f>SUMIFS(SX!W$2:W$19,SX!$B$2:$B$19,'chia CN SX'!$C58)</f>
        <v>0</v>
      </c>
      <c r="G58" s="419">
        <f>SUMIFS(SX!X$2:X$19,SX!$B$2:$B$19,'chia CN SX'!$C58)</f>
        <v>0</v>
      </c>
      <c r="H58" s="419">
        <f>SUMIFS(SX!Y$2:Y$19,SX!$B$2:$B$19,'chia CN SX'!$C58)</f>
        <v>0</v>
      </c>
      <c r="I58" s="419">
        <f>SUMIFS(SX!Z$2:Z$19,SX!$B$2:$B$19,'chia CN SX'!$C58)</f>
        <v>0</v>
      </c>
      <c r="J58" s="419">
        <f>SUMIFS(SX!AA$2:AA$19,SX!$B$2:$B$19,'chia CN SX'!$C58)</f>
        <v>0</v>
      </c>
      <c r="K58" s="419">
        <f>SUMIFS(SX!AB$2:AB$19,SX!$B$2:$B$19,'chia CN SX'!$C58)</f>
        <v>0</v>
      </c>
      <c r="L58" s="419">
        <f>SUMIFS(SX!AC$2:AC$19,SX!$B$2:$B$19,'chia CN SX'!$C58)</f>
        <v>0</v>
      </c>
      <c r="M58" s="419">
        <f>SUMIFS(SX!AD$2:AD$19,SX!$B$2:$B$19,'chia CN SX'!$C58)</f>
        <v>0</v>
      </c>
      <c r="N58" s="419">
        <f>SUMIFS(SX!AE$2:AE$19,SX!$B$2:$B$19,'chia CN SX'!$C58)</f>
        <v>0</v>
      </c>
      <c r="O58" s="419">
        <f>SUMIFS(SX!AF$2:AF$19,SX!$B$2:$B$19,'chia CN SX'!$C58)</f>
        <v>0</v>
      </c>
      <c r="P58" s="419">
        <f>SUMIFS(SX!AG$2:AG$19,SX!$B$2:$B$19,'chia CN SX'!$C58)</f>
        <v>0</v>
      </c>
      <c r="Q58" s="419">
        <f>SUMIFS(SX!AH$2:AH$19,SX!$B$2:$B$19,'chia CN SX'!$C58)</f>
        <v>0</v>
      </c>
      <c r="R58" s="419">
        <f>SUMIFS(SX!AI$2:AI$19,SX!$B$2:$B$19,'chia CN SX'!$C58)</f>
        <v>0</v>
      </c>
      <c r="S58" s="419">
        <f>SUMIFS(SX!AJ$2:AJ$19,SX!$B$2:$B$19,'chia CN SX'!$C58)</f>
        <v>0</v>
      </c>
      <c r="V58" s="546" t="e">
        <f>'chia CN boc xe'!U58</f>
        <v>#REF!</v>
      </c>
      <c r="W58" s="81">
        <f t="shared" si="49"/>
        <v>0</v>
      </c>
      <c r="X58" s="81">
        <f t="shared" si="34"/>
        <v>0</v>
      </c>
      <c r="Y58" s="81">
        <f t="shared" si="35"/>
        <v>0</v>
      </c>
      <c r="Z58" s="81">
        <f t="shared" si="36"/>
        <v>0</v>
      </c>
      <c r="AA58" s="81">
        <f t="shared" si="37"/>
        <v>0</v>
      </c>
      <c r="AB58" s="81">
        <f t="shared" si="38"/>
        <v>0</v>
      </c>
      <c r="AC58" s="81">
        <f t="shared" si="39"/>
        <v>0</v>
      </c>
      <c r="AD58" s="81">
        <f t="shared" si="40"/>
        <v>0</v>
      </c>
      <c r="AE58" s="81">
        <f t="shared" si="41"/>
        <v>0</v>
      </c>
      <c r="AF58" s="81">
        <f t="shared" si="42"/>
        <v>0</v>
      </c>
      <c r="AG58" s="81">
        <f t="shared" si="43"/>
        <v>0</v>
      </c>
      <c r="AH58" s="81">
        <f t="shared" si="44"/>
        <v>0</v>
      </c>
      <c r="AI58" s="81">
        <f t="shared" si="45"/>
        <v>0</v>
      </c>
      <c r="AJ58" s="81">
        <f t="shared" si="46"/>
        <v>0</v>
      </c>
      <c r="AK58" s="81">
        <f t="shared" si="47"/>
        <v>0</v>
      </c>
    </row>
    <row r="59" spans="1:37">
      <c r="A59" s="421">
        <f t="shared" si="16"/>
        <v>57</v>
      </c>
      <c r="B59" s="331"/>
      <c r="C59" s="35"/>
      <c r="D59" s="419">
        <f>SUMIFS(SX!U$2:U$19,SX!$B$2:$B$19,'chia CN SX'!$C59)</f>
        <v>0</v>
      </c>
      <c r="E59" s="419">
        <f>SUMIFS(SX!V$2:V$19,SX!$B$2:$B$19,'chia CN SX'!$C59)</f>
        <v>0</v>
      </c>
      <c r="F59" s="419">
        <f>SUMIFS(SX!W$2:W$19,SX!$B$2:$B$19,'chia CN SX'!$C59)</f>
        <v>0</v>
      </c>
      <c r="G59" s="419">
        <f>SUMIFS(SX!X$2:X$19,SX!$B$2:$B$19,'chia CN SX'!$C59)</f>
        <v>0</v>
      </c>
      <c r="H59" s="419">
        <f>SUMIFS(SX!Y$2:Y$19,SX!$B$2:$B$19,'chia CN SX'!$C59)</f>
        <v>0</v>
      </c>
      <c r="I59" s="419">
        <f>SUMIFS(SX!Z$2:Z$19,SX!$B$2:$B$19,'chia CN SX'!$C59)</f>
        <v>0</v>
      </c>
      <c r="J59" s="419">
        <f>SUMIFS(SX!AA$2:AA$19,SX!$B$2:$B$19,'chia CN SX'!$C59)</f>
        <v>0</v>
      </c>
      <c r="K59" s="419">
        <f>SUMIFS(SX!AB$2:AB$19,SX!$B$2:$B$19,'chia CN SX'!$C59)</f>
        <v>0</v>
      </c>
      <c r="L59" s="419">
        <f>SUMIFS(SX!AC$2:AC$19,SX!$B$2:$B$19,'chia CN SX'!$C59)</f>
        <v>0</v>
      </c>
      <c r="M59" s="419">
        <f>SUMIFS(SX!AD$2:AD$19,SX!$B$2:$B$19,'chia CN SX'!$C59)</f>
        <v>0</v>
      </c>
      <c r="N59" s="419">
        <f>SUMIFS(SX!AE$2:AE$19,SX!$B$2:$B$19,'chia CN SX'!$C59)</f>
        <v>0</v>
      </c>
      <c r="O59" s="419">
        <f>SUMIFS(SX!AF$2:AF$19,SX!$B$2:$B$19,'chia CN SX'!$C59)</f>
        <v>0</v>
      </c>
      <c r="P59" s="419">
        <f>SUMIFS(SX!AG$2:AG$19,SX!$B$2:$B$19,'chia CN SX'!$C59)</f>
        <v>0</v>
      </c>
      <c r="Q59" s="419">
        <f>SUMIFS(SX!AH$2:AH$19,SX!$B$2:$B$19,'chia CN SX'!$C59)</f>
        <v>0</v>
      </c>
      <c r="R59" s="419">
        <f>SUMIFS(SX!AI$2:AI$19,SX!$B$2:$B$19,'chia CN SX'!$C59)</f>
        <v>0</v>
      </c>
      <c r="S59" s="419">
        <f>SUMIFS(SX!AJ$2:AJ$19,SX!$B$2:$B$19,'chia CN SX'!$C59)</f>
        <v>0</v>
      </c>
      <c r="V59" s="545" t="e">
        <f>'chia CN boc xe'!U59</f>
        <v>#REF!</v>
      </c>
      <c r="W59" s="81">
        <f t="shared" si="49"/>
        <v>0</v>
      </c>
      <c r="X59" s="81">
        <f t="shared" si="34"/>
        <v>0</v>
      </c>
      <c r="Y59" s="81">
        <f t="shared" si="35"/>
        <v>0</v>
      </c>
      <c r="Z59" s="81">
        <f t="shared" si="36"/>
        <v>0</v>
      </c>
      <c r="AA59" s="81">
        <f t="shared" si="37"/>
        <v>0</v>
      </c>
      <c r="AB59" s="81">
        <f t="shared" si="38"/>
        <v>0</v>
      </c>
      <c r="AC59" s="81">
        <f t="shared" si="39"/>
        <v>0</v>
      </c>
      <c r="AD59" s="81">
        <f t="shared" si="40"/>
        <v>0</v>
      </c>
      <c r="AE59" s="81">
        <f t="shared" si="41"/>
        <v>0</v>
      </c>
      <c r="AF59" s="81">
        <f t="shared" si="42"/>
        <v>0</v>
      </c>
      <c r="AG59" s="81">
        <f t="shared" si="43"/>
        <v>0</v>
      </c>
      <c r="AH59" s="81">
        <f t="shared" si="44"/>
        <v>0</v>
      </c>
      <c r="AI59" s="81">
        <f t="shared" si="45"/>
        <v>0</v>
      </c>
      <c r="AJ59" s="81">
        <f t="shared" si="46"/>
        <v>0</v>
      </c>
      <c r="AK59" s="81">
        <f t="shared" si="47"/>
        <v>0</v>
      </c>
    </row>
    <row r="60" spans="1:37">
      <c r="A60" s="421">
        <f t="shared" si="16"/>
        <v>58</v>
      </c>
      <c r="B60" s="331"/>
      <c r="C60" s="35"/>
      <c r="D60" s="419">
        <f>SUMIFS(SX!U$2:U$19,SX!$B$2:$B$19,'chia CN SX'!$C60)</f>
        <v>0</v>
      </c>
      <c r="E60" s="419">
        <f>SUMIFS(SX!V$2:V$19,SX!$B$2:$B$19,'chia CN SX'!$C60)</f>
        <v>0</v>
      </c>
      <c r="F60" s="419">
        <f>SUMIFS(SX!W$2:W$19,SX!$B$2:$B$19,'chia CN SX'!$C60)</f>
        <v>0</v>
      </c>
      <c r="G60" s="419">
        <f>SUMIFS(SX!X$2:X$19,SX!$B$2:$B$19,'chia CN SX'!$C60)</f>
        <v>0</v>
      </c>
      <c r="H60" s="419">
        <f>SUMIFS(SX!Y$2:Y$19,SX!$B$2:$B$19,'chia CN SX'!$C60)</f>
        <v>0</v>
      </c>
      <c r="I60" s="419">
        <f>SUMIFS(SX!Z$2:Z$19,SX!$B$2:$B$19,'chia CN SX'!$C60)</f>
        <v>0</v>
      </c>
      <c r="J60" s="419">
        <f>SUMIFS(SX!AA$2:AA$19,SX!$B$2:$B$19,'chia CN SX'!$C60)</f>
        <v>0</v>
      </c>
      <c r="K60" s="419">
        <f>SUMIFS(SX!AB$2:AB$19,SX!$B$2:$B$19,'chia CN SX'!$C60)</f>
        <v>0</v>
      </c>
      <c r="L60" s="419">
        <f>SUMIFS(SX!AC$2:AC$19,SX!$B$2:$B$19,'chia CN SX'!$C60)</f>
        <v>0</v>
      </c>
      <c r="M60" s="419">
        <f>SUMIFS(SX!AD$2:AD$19,SX!$B$2:$B$19,'chia CN SX'!$C60)</f>
        <v>0</v>
      </c>
      <c r="N60" s="419">
        <f>SUMIFS(SX!AE$2:AE$19,SX!$B$2:$B$19,'chia CN SX'!$C60)</f>
        <v>0</v>
      </c>
      <c r="O60" s="419">
        <f>SUMIFS(SX!AF$2:AF$19,SX!$B$2:$B$19,'chia CN SX'!$C60)</f>
        <v>0</v>
      </c>
      <c r="P60" s="419">
        <f>SUMIFS(SX!AG$2:AG$19,SX!$B$2:$B$19,'chia CN SX'!$C60)</f>
        <v>0</v>
      </c>
      <c r="Q60" s="419">
        <f>SUMIFS(SX!AH$2:AH$19,SX!$B$2:$B$19,'chia CN SX'!$C60)</f>
        <v>0</v>
      </c>
      <c r="R60" s="419">
        <f>SUMIFS(SX!AI$2:AI$19,SX!$B$2:$B$19,'chia CN SX'!$C60)</f>
        <v>0</v>
      </c>
      <c r="S60" s="419">
        <f>SUMIFS(SX!AJ$2:AJ$19,SX!$B$2:$B$19,'chia CN SX'!$C60)</f>
        <v>0</v>
      </c>
      <c r="V60" s="80" t="e">
        <f>'chia CN boc xe'!U60</f>
        <v>#REF!</v>
      </c>
      <c r="W60" s="81">
        <f>SUMIF($B$3:$B$114,$V60,D$3:D$114)</f>
        <v>0</v>
      </c>
      <c r="X60" s="81">
        <f t="shared" si="34"/>
        <v>0</v>
      </c>
      <c r="Y60" s="81">
        <f t="shared" si="35"/>
        <v>0</v>
      </c>
      <c r="Z60" s="81">
        <f t="shared" si="36"/>
        <v>0</v>
      </c>
      <c r="AA60" s="81">
        <f t="shared" si="37"/>
        <v>0</v>
      </c>
      <c r="AB60" s="81">
        <f t="shared" si="38"/>
        <v>0</v>
      </c>
      <c r="AC60" s="81">
        <f t="shared" si="39"/>
        <v>0</v>
      </c>
      <c r="AD60" s="81">
        <f t="shared" si="40"/>
        <v>0</v>
      </c>
      <c r="AE60" s="81">
        <f t="shared" si="41"/>
        <v>0</v>
      </c>
      <c r="AF60" s="81">
        <f t="shared" si="42"/>
        <v>0</v>
      </c>
      <c r="AG60" s="81">
        <f t="shared" si="43"/>
        <v>0</v>
      </c>
      <c r="AH60" s="81">
        <f t="shared" si="44"/>
        <v>0</v>
      </c>
      <c r="AI60" s="81">
        <f t="shared" si="45"/>
        <v>0</v>
      </c>
      <c r="AJ60" s="81">
        <f t="shared" si="46"/>
        <v>0</v>
      </c>
      <c r="AK60" s="81">
        <f t="shared" si="47"/>
        <v>0</v>
      </c>
    </row>
    <row r="61" spans="1:37">
      <c r="A61" s="421">
        <f t="shared" si="16"/>
        <v>59</v>
      </c>
      <c r="B61" s="331"/>
      <c r="C61" s="35"/>
      <c r="D61" s="419">
        <f>SUMIFS(SX!U$2:U$19,SX!$B$2:$B$19,'chia CN SX'!$C61)</f>
        <v>0</v>
      </c>
      <c r="E61" s="419">
        <f>SUMIFS(SX!V$2:V$19,SX!$B$2:$B$19,'chia CN SX'!$C61)</f>
        <v>0</v>
      </c>
      <c r="F61" s="419">
        <f>SUMIFS(SX!W$2:W$19,SX!$B$2:$B$19,'chia CN SX'!$C61)</f>
        <v>0</v>
      </c>
      <c r="G61" s="419">
        <f>SUMIFS(SX!X$2:X$19,SX!$B$2:$B$19,'chia CN SX'!$C61)</f>
        <v>0</v>
      </c>
      <c r="H61" s="419">
        <f>SUMIFS(SX!Y$2:Y$19,SX!$B$2:$B$19,'chia CN SX'!$C61)</f>
        <v>0</v>
      </c>
      <c r="I61" s="419">
        <f>SUMIFS(SX!Z$2:Z$19,SX!$B$2:$B$19,'chia CN SX'!$C61)</f>
        <v>0</v>
      </c>
      <c r="J61" s="419">
        <f>SUMIFS(SX!AA$2:AA$19,SX!$B$2:$B$19,'chia CN SX'!$C61)</f>
        <v>0</v>
      </c>
      <c r="K61" s="419">
        <f>SUMIFS(SX!AB$2:AB$19,SX!$B$2:$B$19,'chia CN SX'!$C61)</f>
        <v>0</v>
      </c>
      <c r="L61" s="419">
        <f>SUMIFS(SX!AC$2:AC$19,SX!$B$2:$B$19,'chia CN SX'!$C61)</f>
        <v>0</v>
      </c>
      <c r="M61" s="419">
        <f>SUMIFS(SX!AD$2:AD$19,SX!$B$2:$B$19,'chia CN SX'!$C61)</f>
        <v>0</v>
      </c>
      <c r="N61" s="419">
        <f>SUMIFS(SX!AE$2:AE$19,SX!$B$2:$B$19,'chia CN SX'!$C61)</f>
        <v>0</v>
      </c>
      <c r="O61" s="419">
        <f>SUMIFS(SX!AF$2:AF$19,SX!$B$2:$B$19,'chia CN SX'!$C61)</f>
        <v>0</v>
      </c>
      <c r="P61" s="419">
        <f>SUMIFS(SX!AG$2:AG$19,SX!$B$2:$B$19,'chia CN SX'!$C61)</f>
        <v>0</v>
      </c>
      <c r="Q61" s="419">
        <f>SUMIFS(SX!AH$2:AH$19,SX!$B$2:$B$19,'chia CN SX'!$C61)</f>
        <v>0</v>
      </c>
      <c r="R61" s="419">
        <f>SUMIFS(SX!AI$2:AI$19,SX!$B$2:$B$19,'chia CN SX'!$C61)</f>
        <v>0</v>
      </c>
      <c r="S61" s="419">
        <f>SUMIFS(SX!AJ$2:AJ$19,SX!$B$2:$B$19,'chia CN SX'!$C61)</f>
        <v>0</v>
      </c>
      <c r="V61" s="545" t="e">
        <f>'chia CN boc xe'!U61</f>
        <v>#REF!</v>
      </c>
      <c r="W61" s="81">
        <f t="shared" ref="W61:W72" si="50">SUMIF($B$3:$B$114,$V61,D$3:D$114)</f>
        <v>0</v>
      </c>
      <c r="X61" s="81">
        <f t="shared" si="34"/>
        <v>0</v>
      </c>
      <c r="Y61" s="81">
        <f t="shared" si="35"/>
        <v>0</v>
      </c>
      <c r="Z61" s="81">
        <f t="shared" si="36"/>
        <v>0</v>
      </c>
      <c r="AA61" s="81">
        <f t="shared" si="37"/>
        <v>0</v>
      </c>
      <c r="AB61" s="81">
        <f t="shared" si="38"/>
        <v>0</v>
      </c>
      <c r="AC61" s="81">
        <f t="shared" si="39"/>
        <v>0</v>
      </c>
      <c r="AD61" s="81">
        <f t="shared" si="40"/>
        <v>0</v>
      </c>
      <c r="AE61" s="81">
        <f t="shared" si="41"/>
        <v>0</v>
      </c>
      <c r="AF61" s="81">
        <f t="shared" si="42"/>
        <v>0</v>
      </c>
      <c r="AG61" s="81">
        <f t="shared" si="43"/>
        <v>0</v>
      </c>
      <c r="AH61" s="81">
        <f t="shared" si="44"/>
        <v>0</v>
      </c>
      <c r="AI61" s="81">
        <f t="shared" si="45"/>
        <v>0</v>
      </c>
      <c r="AJ61" s="81">
        <f t="shared" si="46"/>
        <v>0</v>
      </c>
      <c r="AK61" s="81">
        <f t="shared" si="47"/>
        <v>0</v>
      </c>
    </row>
    <row r="62" spans="1:37">
      <c r="A62" s="421">
        <f t="shared" si="16"/>
        <v>60</v>
      </c>
      <c r="B62" s="331"/>
      <c r="C62" s="35"/>
      <c r="D62" s="419">
        <f>SUMIFS(SX!U$2:U$19,SX!$B$2:$B$19,'chia CN SX'!$C62)</f>
        <v>0</v>
      </c>
      <c r="E62" s="419">
        <f>SUMIFS(SX!V$2:V$19,SX!$B$2:$B$19,'chia CN SX'!$C62)</f>
        <v>0</v>
      </c>
      <c r="F62" s="419">
        <f>SUMIFS(SX!W$2:W$19,SX!$B$2:$B$19,'chia CN SX'!$C62)</f>
        <v>0</v>
      </c>
      <c r="G62" s="419">
        <f>SUMIFS(SX!X$2:X$19,SX!$B$2:$B$19,'chia CN SX'!$C62)</f>
        <v>0</v>
      </c>
      <c r="H62" s="419">
        <f>SUMIFS(SX!Y$2:Y$19,SX!$B$2:$B$19,'chia CN SX'!$C62)</f>
        <v>0</v>
      </c>
      <c r="I62" s="419">
        <f>SUMIFS(SX!Z$2:Z$19,SX!$B$2:$B$19,'chia CN SX'!$C62)</f>
        <v>0</v>
      </c>
      <c r="J62" s="419">
        <f>SUMIFS(SX!AA$2:AA$19,SX!$B$2:$B$19,'chia CN SX'!$C62)</f>
        <v>0</v>
      </c>
      <c r="K62" s="419">
        <f>SUMIFS(SX!AB$2:AB$19,SX!$B$2:$B$19,'chia CN SX'!$C62)</f>
        <v>0</v>
      </c>
      <c r="L62" s="419">
        <f>SUMIFS(SX!AC$2:AC$19,SX!$B$2:$B$19,'chia CN SX'!$C62)</f>
        <v>0</v>
      </c>
      <c r="M62" s="419">
        <f>SUMIFS(SX!AD$2:AD$19,SX!$B$2:$B$19,'chia CN SX'!$C62)</f>
        <v>0</v>
      </c>
      <c r="N62" s="419">
        <f>SUMIFS(SX!AE$2:AE$19,SX!$B$2:$B$19,'chia CN SX'!$C62)</f>
        <v>0</v>
      </c>
      <c r="O62" s="419">
        <f>SUMIFS(SX!AF$2:AF$19,SX!$B$2:$B$19,'chia CN SX'!$C62)</f>
        <v>0</v>
      </c>
      <c r="P62" s="419">
        <f>SUMIFS(SX!AG$2:AG$19,SX!$B$2:$B$19,'chia CN SX'!$C62)</f>
        <v>0</v>
      </c>
      <c r="Q62" s="419">
        <f>SUMIFS(SX!AH$2:AH$19,SX!$B$2:$B$19,'chia CN SX'!$C62)</f>
        <v>0</v>
      </c>
      <c r="R62" s="419">
        <f>SUMIFS(SX!AI$2:AI$19,SX!$B$2:$B$19,'chia CN SX'!$C62)</f>
        <v>0</v>
      </c>
      <c r="S62" s="419">
        <f>SUMIFS(SX!AJ$2:AJ$19,SX!$B$2:$B$19,'chia CN SX'!$C62)</f>
        <v>0</v>
      </c>
      <c r="V62" s="545" t="e">
        <f>'chia CN boc xe'!U62</f>
        <v>#REF!</v>
      </c>
      <c r="W62" s="81">
        <f t="shared" si="50"/>
        <v>0</v>
      </c>
      <c r="X62" s="81">
        <f t="shared" si="34"/>
        <v>0</v>
      </c>
      <c r="Y62" s="81">
        <f t="shared" si="35"/>
        <v>0</v>
      </c>
      <c r="Z62" s="81">
        <f t="shared" si="36"/>
        <v>0</v>
      </c>
      <c r="AA62" s="81">
        <f t="shared" si="37"/>
        <v>0</v>
      </c>
      <c r="AB62" s="81">
        <f t="shared" si="38"/>
        <v>0</v>
      </c>
      <c r="AC62" s="81">
        <f t="shared" si="39"/>
        <v>0</v>
      </c>
      <c r="AD62" s="81">
        <f t="shared" si="40"/>
        <v>0</v>
      </c>
      <c r="AE62" s="81">
        <f t="shared" si="41"/>
        <v>0</v>
      </c>
      <c r="AF62" s="81">
        <f t="shared" si="42"/>
        <v>0</v>
      </c>
      <c r="AG62" s="81">
        <f t="shared" si="43"/>
        <v>0</v>
      </c>
      <c r="AH62" s="81">
        <f t="shared" si="44"/>
        <v>0</v>
      </c>
      <c r="AI62" s="81">
        <f t="shared" si="45"/>
        <v>0</v>
      </c>
      <c r="AJ62" s="81">
        <f t="shared" si="46"/>
        <v>0</v>
      </c>
      <c r="AK62" s="81">
        <f t="shared" si="47"/>
        <v>0</v>
      </c>
    </row>
    <row r="63" spans="1:37">
      <c r="A63" s="421">
        <f t="shared" si="16"/>
        <v>61</v>
      </c>
      <c r="B63" s="331"/>
      <c r="C63" s="35"/>
      <c r="D63" s="419">
        <f>SUMIFS(SX!U$2:U$19,SX!$B$2:$B$19,'chia CN SX'!$C63)</f>
        <v>0</v>
      </c>
      <c r="E63" s="419">
        <f>SUMIFS(SX!V$2:V$19,SX!$B$2:$B$19,'chia CN SX'!$C63)</f>
        <v>0</v>
      </c>
      <c r="F63" s="419">
        <f>SUMIFS(SX!W$2:W$19,SX!$B$2:$B$19,'chia CN SX'!$C63)</f>
        <v>0</v>
      </c>
      <c r="G63" s="419">
        <f>SUMIFS(SX!X$2:X$19,SX!$B$2:$B$19,'chia CN SX'!$C63)</f>
        <v>0</v>
      </c>
      <c r="H63" s="419">
        <f>SUMIFS(SX!Y$2:Y$19,SX!$B$2:$B$19,'chia CN SX'!$C63)</f>
        <v>0</v>
      </c>
      <c r="I63" s="419">
        <f>SUMIFS(SX!Z$2:Z$19,SX!$B$2:$B$19,'chia CN SX'!$C63)</f>
        <v>0</v>
      </c>
      <c r="J63" s="419">
        <f>SUMIFS(SX!AA$2:AA$19,SX!$B$2:$B$19,'chia CN SX'!$C63)</f>
        <v>0</v>
      </c>
      <c r="K63" s="419">
        <f>SUMIFS(SX!AB$2:AB$19,SX!$B$2:$B$19,'chia CN SX'!$C63)</f>
        <v>0</v>
      </c>
      <c r="L63" s="419">
        <f>SUMIFS(SX!AC$2:AC$19,SX!$B$2:$B$19,'chia CN SX'!$C63)</f>
        <v>0</v>
      </c>
      <c r="M63" s="419">
        <f>SUMIFS(SX!AD$2:AD$19,SX!$B$2:$B$19,'chia CN SX'!$C63)</f>
        <v>0</v>
      </c>
      <c r="N63" s="419">
        <f>SUMIFS(SX!AE$2:AE$19,SX!$B$2:$B$19,'chia CN SX'!$C63)</f>
        <v>0</v>
      </c>
      <c r="O63" s="419">
        <f>SUMIFS(SX!AF$2:AF$19,SX!$B$2:$B$19,'chia CN SX'!$C63)</f>
        <v>0</v>
      </c>
      <c r="P63" s="419">
        <f>SUMIFS(SX!AG$2:AG$19,SX!$B$2:$B$19,'chia CN SX'!$C63)</f>
        <v>0</v>
      </c>
      <c r="Q63" s="419">
        <f>SUMIFS(SX!AH$2:AH$19,SX!$B$2:$B$19,'chia CN SX'!$C63)</f>
        <v>0</v>
      </c>
      <c r="R63" s="419">
        <f>SUMIFS(SX!AI$2:AI$19,SX!$B$2:$B$19,'chia CN SX'!$C63)</f>
        <v>0</v>
      </c>
      <c r="S63" s="419">
        <f>SUMIFS(SX!AJ$2:AJ$19,SX!$B$2:$B$19,'chia CN SX'!$C63)</f>
        <v>0</v>
      </c>
      <c r="V63" s="545" t="e">
        <f>'chia CN boc xe'!U63</f>
        <v>#REF!</v>
      </c>
      <c r="W63" s="81">
        <f t="shared" si="50"/>
        <v>0</v>
      </c>
      <c r="X63" s="81">
        <f t="shared" si="34"/>
        <v>0</v>
      </c>
      <c r="Y63" s="81">
        <f t="shared" si="35"/>
        <v>0</v>
      </c>
      <c r="Z63" s="81">
        <f t="shared" si="36"/>
        <v>0</v>
      </c>
      <c r="AA63" s="81">
        <f t="shared" si="37"/>
        <v>0</v>
      </c>
      <c r="AB63" s="81">
        <f t="shared" si="38"/>
        <v>0</v>
      </c>
      <c r="AC63" s="81">
        <f t="shared" si="39"/>
        <v>0</v>
      </c>
      <c r="AD63" s="81">
        <f t="shared" si="40"/>
        <v>0</v>
      </c>
      <c r="AE63" s="81">
        <f t="shared" si="41"/>
        <v>0</v>
      </c>
      <c r="AF63" s="81">
        <f t="shared" si="42"/>
        <v>0</v>
      </c>
      <c r="AG63" s="81">
        <f t="shared" si="43"/>
        <v>0</v>
      </c>
      <c r="AH63" s="81">
        <f t="shared" si="44"/>
        <v>0</v>
      </c>
      <c r="AI63" s="81">
        <f t="shared" si="45"/>
        <v>0</v>
      </c>
      <c r="AJ63" s="81">
        <f t="shared" si="46"/>
        <v>0</v>
      </c>
      <c r="AK63" s="81">
        <f t="shared" si="47"/>
        <v>0</v>
      </c>
    </row>
    <row r="64" spans="1:37">
      <c r="A64" s="421">
        <f t="shared" si="16"/>
        <v>62</v>
      </c>
      <c r="B64" s="331"/>
      <c r="C64" s="35"/>
      <c r="D64" s="419">
        <f>SUMIFS(SX!U$2:U$19,SX!$B$2:$B$19,'chia CN SX'!$C64)</f>
        <v>0</v>
      </c>
      <c r="E64" s="419">
        <f>SUMIFS(SX!V$2:V$19,SX!$B$2:$B$19,'chia CN SX'!$C64)</f>
        <v>0</v>
      </c>
      <c r="F64" s="419">
        <f>SUMIFS(SX!W$2:W$19,SX!$B$2:$B$19,'chia CN SX'!$C64)</f>
        <v>0</v>
      </c>
      <c r="G64" s="419">
        <f>SUMIFS(SX!X$2:X$19,SX!$B$2:$B$19,'chia CN SX'!$C64)</f>
        <v>0</v>
      </c>
      <c r="H64" s="419">
        <f>SUMIFS(SX!Y$2:Y$19,SX!$B$2:$B$19,'chia CN SX'!$C64)</f>
        <v>0</v>
      </c>
      <c r="I64" s="419">
        <f>SUMIFS(SX!Z$2:Z$19,SX!$B$2:$B$19,'chia CN SX'!$C64)</f>
        <v>0</v>
      </c>
      <c r="J64" s="419">
        <f>SUMIFS(SX!AA$2:AA$19,SX!$B$2:$B$19,'chia CN SX'!$C64)</f>
        <v>0</v>
      </c>
      <c r="K64" s="419">
        <f>SUMIFS(SX!AB$2:AB$19,SX!$B$2:$B$19,'chia CN SX'!$C64)</f>
        <v>0</v>
      </c>
      <c r="L64" s="419">
        <f>SUMIFS(SX!AC$2:AC$19,SX!$B$2:$B$19,'chia CN SX'!$C64)</f>
        <v>0</v>
      </c>
      <c r="M64" s="419">
        <f>SUMIFS(SX!AD$2:AD$19,SX!$B$2:$B$19,'chia CN SX'!$C64)</f>
        <v>0</v>
      </c>
      <c r="N64" s="419">
        <f>SUMIFS(SX!AE$2:AE$19,SX!$B$2:$B$19,'chia CN SX'!$C64)</f>
        <v>0</v>
      </c>
      <c r="O64" s="419">
        <f>SUMIFS(SX!AF$2:AF$19,SX!$B$2:$B$19,'chia CN SX'!$C64)</f>
        <v>0</v>
      </c>
      <c r="P64" s="419">
        <f>SUMIFS(SX!AG$2:AG$19,SX!$B$2:$B$19,'chia CN SX'!$C64)</f>
        <v>0</v>
      </c>
      <c r="Q64" s="419">
        <f>SUMIFS(SX!AH$2:AH$19,SX!$B$2:$B$19,'chia CN SX'!$C64)</f>
        <v>0</v>
      </c>
      <c r="R64" s="419">
        <f>SUMIFS(SX!AI$2:AI$19,SX!$B$2:$B$19,'chia CN SX'!$C64)</f>
        <v>0</v>
      </c>
      <c r="S64" s="419">
        <f>SUMIFS(SX!AJ$2:AJ$19,SX!$B$2:$B$19,'chia CN SX'!$C64)</f>
        <v>0</v>
      </c>
      <c r="V64" s="546" t="e">
        <f>'chia CN boc xe'!U64</f>
        <v>#REF!</v>
      </c>
      <c r="W64" s="81">
        <f t="shared" si="50"/>
        <v>0</v>
      </c>
      <c r="X64" s="81">
        <f t="shared" si="34"/>
        <v>0</v>
      </c>
      <c r="Y64" s="81">
        <f t="shared" si="35"/>
        <v>0</v>
      </c>
      <c r="Z64" s="81">
        <f t="shared" si="36"/>
        <v>0</v>
      </c>
      <c r="AA64" s="81">
        <f t="shared" si="37"/>
        <v>0</v>
      </c>
      <c r="AB64" s="81">
        <f t="shared" si="38"/>
        <v>0</v>
      </c>
      <c r="AC64" s="81">
        <f t="shared" si="39"/>
        <v>0</v>
      </c>
      <c r="AD64" s="81">
        <f t="shared" si="40"/>
        <v>0</v>
      </c>
      <c r="AE64" s="81">
        <f t="shared" si="41"/>
        <v>0</v>
      </c>
      <c r="AF64" s="81">
        <f t="shared" si="42"/>
        <v>0</v>
      </c>
      <c r="AG64" s="81">
        <f t="shared" si="43"/>
        <v>0</v>
      </c>
      <c r="AH64" s="81">
        <f t="shared" si="44"/>
        <v>0</v>
      </c>
      <c r="AI64" s="81">
        <f t="shared" si="45"/>
        <v>0</v>
      </c>
      <c r="AJ64" s="81">
        <f t="shared" si="46"/>
        <v>0</v>
      </c>
      <c r="AK64" s="81">
        <f t="shared" si="47"/>
        <v>0</v>
      </c>
    </row>
    <row r="65" spans="1:37">
      <c r="A65" s="421">
        <f t="shared" si="16"/>
        <v>63</v>
      </c>
      <c r="B65" s="331"/>
      <c r="C65" s="35"/>
      <c r="D65" s="419">
        <f>SUMIFS(SX!U$2:U$19,SX!$B$2:$B$19,'chia CN SX'!$C65)</f>
        <v>0</v>
      </c>
      <c r="E65" s="419">
        <f>SUMIFS(SX!V$2:V$19,SX!$B$2:$B$19,'chia CN SX'!$C65)</f>
        <v>0</v>
      </c>
      <c r="F65" s="419">
        <f>SUMIFS(SX!W$2:W$19,SX!$B$2:$B$19,'chia CN SX'!$C65)</f>
        <v>0</v>
      </c>
      <c r="G65" s="419">
        <f>SUMIFS(SX!X$2:X$19,SX!$B$2:$B$19,'chia CN SX'!$C65)</f>
        <v>0</v>
      </c>
      <c r="H65" s="419">
        <f>SUMIFS(SX!Y$2:Y$19,SX!$B$2:$B$19,'chia CN SX'!$C65)</f>
        <v>0</v>
      </c>
      <c r="I65" s="419">
        <f>SUMIFS(SX!Z$2:Z$19,SX!$B$2:$B$19,'chia CN SX'!$C65)</f>
        <v>0</v>
      </c>
      <c r="J65" s="419">
        <f>SUMIFS(SX!AA$2:AA$19,SX!$B$2:$B$19,'chia CN SX'!$C65)</f>
        <v>0</v>
      </c>
      <c r="K65" s="419">
        <f>SUMIFS(SX!AB$2:AB$19,SX!$B$2:$B$19,'chia CN SX'!$C65)</f>
        <v>0</v>
      </c>
      <c r="L65" s="419">
        <f>SUMIFS(SX!AC$2:AC$19,SX!$B$2:$B$19,'chia CN SX'!$C65)</f>
        <v>0</v>
      </c>
      <c r="M65" s="419">
        <f>SUMIFS(SX!AD$2:AD$19,SX!$B$2:$B$19,'chia CN SX'!$C65)</f>
        <v>0</v>
      </c>
      <c r="N65" s="419">
        <f>SUMIFS(SX!AE$2:AE$19,SX!$B$2:$B$19,'chia CN SX'!$C65)</f>
        <v>0</v>
      </c>
      <c r="O65" s="419">
        <f>SUMIFS(SX!AF$2:AF$19,SX!$B$2:$B$19,'chia CN SX'!$C65)</f>
        <v>0</v>
      </c>
      <c r="P65" s="419">
        <f>SUMIFS(SX!AG$2:AG$19,SX!$B$2:$B$19,'chia CN SX'!$C65)</f>
        <v>0</v>
      </c>
      <c r="Q65" s="419">
        <f>SUMIFS(SX!AH$2:AH$19,SX!$B$2:$B$19,'chia CN SX'!$C65)</f>
        <v>0</v>
      </c>
      <c r="R65" s="419">
        <f>SUMIFS(SX!AI$2:AI$19,SX!$B$2:$B$19,'chia CN SX'!$C65)</f>
        <v>0</v>
      </c>
      <c r="S65" s="419">
        <f>SUMIFS(SX!AJ$2:AJ$19,SX!$B$2:$B$19,'chia CN SX'!$C65)</f>
        <v>0</v>
      </c>
      <c r="V65" s="547" t="e">
        <f>'chia CN boc xe'!U65</f>
        <v>#REF!</v>
      </c>
      <c r="W65" s="81">
        <f t="shared" si="50"/>
        <v>0</v>
      </c>
      <c r="X65" s="81">
        <f t="shared" si="34"/>
        <v>0</v>
      </c>
      <c r="Y65" s="81">
        <f t="shared" si="35"/>
        <v>0</v>
      </c>
      <c r="Z65" s="81">
        <f t="shared" si="36"/>
        <v>0</v>
      </c>
      <c r="AA65" s="81">
        <f t="shared" si="37"/>
        <v>0</v>
      </c>
      <c r="AB65" s="81">
        <f t="shared" si="38"/>
        <v>0</v>
      </c>
      <c r="AC65" s="81">
        <f t="shared" si="39"/>
        <v>0</v>
      </c>
      <c r="AD65" s="81">
        <f t="shared" si="40"/>
        <v>0</v>
      </c>
      <c r="AE65" s="81">
        <f t="shared" si="41"/>
        <v>0</v>
      </c>
      <c r="AF65" s="81">
        <f t="shared" si="42"/>
        <v>0</v>
      </c>
      <c r="AG65" s="81">
        <f t="shared" si="43"/>
        <v>0</v>
      </c>
      <c r="AH65" s="81">
        <f t="shared" si="44"/>
        <v>0</v>
      </c>
      <c r="AI65" s="81">
        <f t="shared" si="45"/>
        <v>0</v>
      </c>
      <c r="AJ65" s="81">
        <f t="shared" si="46"/>
        <v>0</v>
      </c>
      <c r="AK65" s="81">
        <f t="shared" si="47"/>
        <v>0</v>
      </c>
    </row>
    <row r="66" spans="1:37">
      <c r="A66" s="421">
        <f t="shared" si="16"/>
        <v>64</v>
      </c>
      <c r="B66" s="331"/>
      <c r="C66" s="35"/>
      <c r="D66" s="419">
        <f>SUMIFS(SX!U$2:U$19,SX!$B$2:$B$19,'chia CN SX'!$C66)</f>
        <v>0</v>
      </c>
      <c r="E66" s="419">
        <f>SUMIFS(SX!V$2:V$19,SX!$B$2:$B$19,'chia CN SX'!$C66)</f>
        <v>0</v>
      </c>
      <c r="F66" s="419">
        <f>SUMIFS(SX!W$2:W$19,SX!$B$2:$B$19,'chia CN SX'!$C66)</f>
        <v>0</v>
      </c>
      <c r="G66" s="419">
        <f>SUMIFS(SX!X$2:X$19,SX!$B$2:$B$19,'chia CN SX'!$C66)</f>
        <v>0</v>
      </c>
      <c r="H66" s="419">
        <f>SUMIFS(SX!Y$2:Y$19,SX!$B$2:$B$19,'chia CN SX'!$C66)</f>
        <v>0</v>
      </c>
      <c r="I66" s="419">
        <f>SUMIFS(SX!Z$2:Z$19,SX!$B$2:$B$19,'chia CN SX'!$C66)</f>
        <v>0</v>
      </c>
      <c r="J66" s="419">
        <f>SUMIFS(SX!AA$2:AA$19,SX!$B$2:$B$19,'chia CN SX'!$C66)</f>
        <v>0</v>
      </c>
      <c r="K66" s="419">
        <f>SUMIFS(SX!AB$2:AB$19,SX!$B$2:$B$19,'chia CN SX'!$C66)</f>
        <v>0</v>
      </c>
      <c r="L66" s="419">
        <f>SUMIFS(SX!AC$2:AC$19,SX!$B$2:$B$19,'chia CN SX'!$C66)</f>
        <v>0</v>
      </c>
      <c r="M66" s="419">
        <f>SUMIFS(SX!AD$2:AD$19,SX!$B$2:$B$19,'chia CN SX'!$C66)</f>
        <v>0</v>
      </c>
      <c r="N66" s="419">
        <f>SUMIFS(SX!AE$2:AE$19,SX!$B$2:$B$19,'chia CN SX'!$C66)</f>
        <v>0</v>
      </c>
      <c r="O66" s="419">
        <f>SUMIFS(SX!AF$2:AF$19,SX!$B$2:$B$19,'chia CN SX'!$C66)</f>
        <v>0</v>
      </c>
      <c r="P66" s="419">
        <f>SUMIFS(SX!AG$2:AG$19,SX!$B$2:$B$19,'chia CN SX'!$C66)</f>
        <v>0</v>
      </c>
      <c r="Q66" s="419">
        <f>SUMIFS(SX!AH$2:AH$19,SX!$B$2:$B$19,'chia CN SX'!$C66)</f>
        <v>0</v>
      </c>
      <c r="R66" s="419">
        <f>SUMIFS(SX!AI$2:AI$19,SX!$B$2:$B$19,'chia CN SX'!$C66)</f>
        <v>0</v>
      </c>
      <c r="S66" s="419">
        <f>SUMIFS(SX!AJ$2:AJ$19,SX!$B$2:$B$19,'chia CN SX'!$C66)</f>
        <v>0</v>
      </c>
      <c r="V66" s="80" t="e">
        <f>'chia CN boc xe'!U66</f>
        <v>#REF!</v>
      </c>
      <c r="W66" s="81">
        <f t="shared" si="50"/>
        <v>0</v>
      </c>
      <c r="X66" s="81">
        <f t="shared" si="34"/>
        <v>0</v>
      </c>
      <c r="Y66" s="81">
        <f t="shared" si="35"/>
        <v>0</v>
      </c>
      <c r="Z66" s="81">
        <f t="shared" si="36"/>
        <v>0</v>
      </c>
      <c r="AA66" s="81">
        <f t="shared" si="37"/>
        <v>0</v>
      </c>
      <c r="AB66" s="81">
        <f t="shared" si="38"/>
        <v>0</v>
      </c>
      <c r="AC66" s="81">
        <f t="shared" si="39"/>
        <v>0</v>
      </c>
      <c r="AD66" s="81">
        <f t="shared" si="40"/>
        <v>0</v>
      </c>
      <c r="AE66" s="81">
        <f t="shared" si="41"/>
        <v>0</v>
      </c>
      <c r="AF66" s="81">
        <f t="shared" si="42"/>
        <v>0</v>
      </c>
      <c r="AG66" s="81">
        <f t="shared" si="43"/>
        <v>0</v>
      </c>
      <c r="AH66" s="81">
        <f t="shared" si="44"/>
        <v>0</v>
      </c>
      <c r="AI66" s="81">
        <f t="shared" si="45"/>
        <v>0</v>
      </c>
      <c r="AJ66" s="81">
        <f t="shared" si="46"/>
        <v>0</v>
      </c>
      <c r="AK66" s="81">
        <f t="shared" si="47"/>
        <v>0</v>
      </c>
    </row>
    <row r="67" spans="1:37">
      <c r="A67" s="421">
        <f t="shared" si="16"/>
        <v>65</v>
      </c>
      <c r="B67" s="331"/>
      <c r="C67" s="35"/>
      <c r="D67" s="419">
        <f>SUMIFS(SX!U$2:U$19,SX!$B$2:$B$19,'chia CN SX'!$C67)</f>
        <v>0</v>
      </c>
      <c r="E67" s="419">
        <f>SUMIFS(SX!V$2:V$19,SX!$B$2:$B$19,'chia CN SX'!$C67)</f>
        <v>0</v>
      </c>
      <c r="F67" s="419">
        <f>SUMIFS(SX!W$2:W$19,SX!$B$2:$B$19,'chia CN SX'!$C67)</f>
        <v>0</v>
      </c>
      <c r="G67" s="419">
        <f>SUMIFS(SX!X$2:X$19,SX!$B$2:$B$19,'chia CN SX'!$C67)</f>
        <v>0</v>
      </c>
      <c r="H67" s="419">
        <f>SUMIFS(SX!Y$2:Y$19,SX!$B$2:$B$19,'chia CN SX'!$C67)</f>
        <v>0</v>
      </c>
      <c r="I67" s="419">
        <f>SUMIFS(SX!Z$2:Z$19,SX!$B$2:$B$19,'chia CN SX'!$C67)</f>
        <v>0</v>
      </c>
      <c r="J67" s="419">
        <f>SUMIFS(SX!AA$2:AA$19,SX!$B$2:$B$19,'chia CN SX'!$C67)</f>
        <v>0</v>
      </c>
      <c r="K67" s="419">
        <f>SUMIFS(SX!AB$2:AB$19,SX!$B$2:$B$19,'chia CN SX'!$C67)</f>
        <v>0</v>
      </c>
      <c r="L67" s="419">
        <f>SUMIFS(SX!AC$2:AC$19,SX!$B$2:$B$19,'chia CN SX'!$C67)</f>
        <v>0</v>
      </c>
      <c r="M67" s="419">
        <f>SUMIFS(SX!AD$2:AD$19,SX!$B$2:$B$19,'chia CN SX'!$C67)</f>
        <v>0</v>
      </c>
      <c r="N67" s="419">
        <f>SUMIFS(SX!AE$2:AE$19,SX!$B$2:$B$19,'chia CN SX'!$C67)</f>
        <v>0</v>
      </c>
      <c r="O67" s="419">
        <f>SUMIFS(SX!AF$2:AF$19,SX!$B$2:$B$19,'chia CN SX'!$C67)</f>
        <v>0</v>
      </c>
      <c r="P67" s="419">
        <f>SUMIFS(SX!AG$2:AG$19,SX!$B$2:$B$19,'chia CN SX'!$C67)</f>
        <v>0</v>
      </c>
      <c r="Q67" s="419">
        <f>SUMIFS(SX!AH$2:AH$19,SX!$B$2:$B$19,'chia CN SX'!$C67)</f>
        <v>0</v>
      </c>
      <c r="R67" s="419">
        <f>SUMIFS(SX!AI$2:AI$19,SX!$B$2:$B$19,'chia CN SX'!$C67)</f>
        <v>0</v>
      </c>
      <c r="S67" s="419">
        <f>SUMIFS(SX!AJ$2:AJ$19,SX!$B$2:$B$19,'chia CN SX'!$C67)</f>
        <v>0</v>
      </c>
      <c r="V67" s="80" t="e">
        <f>'chia CN boc xe'!U67</f>
        <v>#REF!</v>
      </c>
      <c r="W67" s="81">
        <f t="shared" si="50"/>
        <v>0</v>
      </c>
      <c r="X67" s="81">
        <f t="shared" si="34"/>
        <v>0</v>
      </c>
      <c r="Y67" s="81">
        <f t="shared" si="35"/>
        <v>0</v>
      </c>
      <c r="Z67" s="81">
        <f t="shared" si="36"/>
        <v>0</v>
      </c>
      <c r="AA67" s="81">
        <f t="shared" si="37"/>
        <v>0</v>
      </c>
      <c r="AB67" s="81">
        <f t="shared" si="38"/>
        <v>0</v>
      </c>
      <c r="AC67" s="81">
        <f t="shared" si="39"/>
        <v>0</v>
      </c>
      <c r="AD67" s="81">
        <f t="shared" si="40"/>
        <v>0</v>
      </c>
      <c r="AE67" s="81">
        <f t="shared" si="41"/>
        <v>0</v>
      </c>
      <c r="AF67" s="81">
        <f t="shared" si="42"/>
        <v>0</v>
      </c>
      <c r="AG67" s="81">
        <f t="shared" si="43"/>
        <v>0</v>
      </c>
      <c r="AH67" s="81">
        <f t="shared" si="44"/>
        <v>0</v>
      </c>
      <c r="AI67" s="81">
        <f t="shared" si="45"/>
        <v>0</v>
      </c>
      <c r="AJ67" s="81">
        <f t="shared" si="46"/>
        <v>0</v>
      </c>
      <c r="AK67" s="81">
        <f t="shared" si="47"/>
        <v>0</v>
      </c>
    </row>
    <row r="68" spans="1:37">
      <c r="A68" s="421">
        <f t="shared" ref="A68:A114" si="51">A67+1</f>
        <v>66</v>
      </c>
      <c r="B68" s="331"/>
      <c r="C68" s="35"/>
      <c r="D68" s="419">
        <f>SUMIFS(SX!U$2:U$19,SX!$B$2:$B$19,'chia CN SX'!$C68)</f>
        <v>0</v>
      </c>
      <c r="E68" s="419">
        <f>SUMIFS(SX!V$2:V$19,SX!$B$2:$B$19,'chia CN SX'!$C68)</f>
        <v>0</v>
      </c>
      <c r="F68" s="419">
        <f>SUMIFS(SX!W$2:W$19,SX!$B$2:$B$19,'chia CN SX'!$C68)</f>
        <v>0</v>
      </c>
      <c r="G68" s="419">
        <f>SUMIFS(SX!X$2:X$19,SX!$B$2:$B$19,'chia CN SX'!$C68)</f>
        <v>0</v>
      </c>
      <c r="H68" s="419">
        <f>SUMIFS(SX!Y$2:Y$19,SX!$B$2:$B$19,'chia CN SX'!$C68)</f>
        <v>0</v>
      </c>
      <c r="I68" s="419">
        <f>SUMIFS(SX!Z$2:Z$19,SX!$B$2:$B$19,'chia CN SX'!$C68)</f>
        <v>0</v>
      </c>
      <c r="J68" s="419">
        <f>SUMIFS(SX!AA$2:AA$19,SX!$B$2:$B$19,'chia CN SX'!$C68)</f>
        <v>0</v>
      </c>
      <c r="K68" s="419">
        <f>SUMIFS(SX!AB$2:AB$19,SX!$B$2:$B$19,'chia CN SX'!$C68)</f>
        <v>0</v>
      </c>
      <c r="L68" s="419">
        <f>SUMIFS(SX!AC$2:AC$19,SX!$B$2:$B$19,'chia CN SX'!$C68)</f>
        <v>0</v>
      </c>
      <c r="M68" s="419">
        <f>SUMIFS(SX!AD$2:AD$19,SX!$B$2:$B$19,'chia CN SX'!$C68)</f>
        <v>0</v>
      </c>
      <c r="N68" s="419">
        <f>SUMIFS(SX!AE$2:AE$19,SX!$B$2:$B$19,'chia CN SX'!$C68)</f>
        <v>0</v>
      </c>
      <c r="O68" s="419">
        <f>SUMIFS(SX!AF$2:AF$19,SX!$B$2:$B$19,'chia CN SX'!$C68)</f>
        <v>0</v>
      </c>
      <c r="P68" s="419">
        <f>SUMIFS(SX!AG$2:AG$19,SX!$B$2:$B$19,'chia CN SX'!$C68)</f>
        <v>0</v>
      </c>
      <c r="Q68" s="419">
        <f>SUMIFS(SX!AH$2:AH$19,SX!$B$2:$B$19,'chia CN SX'!$C68)</f>
        <v>0</v>
      </c>
      <c r="R68" s="419">
        <f>SUMIFS(SX!AI$2:AI$19,SX!$B$2:$B$19,'chia CN SX'!$C68)</f>
        <v>0</v>
      </c>
      <c r="S68" s="419">
        <f>SUMIFS(SX!AJ$2:AJ$19,SX!$B$2:$B$19,'chia CN SX'!$C68)</f>
        <v>0</v>
      </c>
      <c r="V68" s="80" t="e">
        <f>'chia CN boc xe'!U68</f>
        <v>#REF!</v>
      </c>
      <c r="W68" s="81">
        <f t="shared" si="50"/>
        <v>0</v>
      </c>
      <c r="X68" s="81">
        <f t="shared" si="34"/>
        <v>0</v>
      </c>
      <c r="Y68" s="81">
        <f t="shared" si="35"/>
        <v>0</v>
      </c>
      <c r="Z68" s="81">
        <f t="shared" si="36"/>
        <v>0</v>
      </c>
      <c r="AA68" s="81">
        <f t="shared" si="37"/>
        <v>0</v>
      </c>
      <c r="AB68" s="81">
        <f t="shared" si="38"/>
        <v>0</v>
      </c>
      <c r="AC68" s="81">
        <f t="shared" si="39"/>
        <v>0</v>
      </c>
      <c r="AD68" s="81">
        <f t="shared" si="40"/>
        <v>0</v>
      </c>
      <c r="AE68" s="81">
        <f t="shared" si="41"/>
        <v>0</v>
      </c>
      <c r="AF68" s="81">
        <f t="shared" si="42"/>
        <v>0</v>
      </c>
      <c r="AG68" s="81">
        <f t="shared" si="43"/>
        <v>0</v>
      </c>
      <c r="AH68" s="81">
        <f t="shared" si="44"/>
        <v>0</v>
      </c>
      <c r="AI68" s="81">
        <f t="shared" si="45"/>
        <v>0</v>
      </c>
      <c r="AJ68" s="81">
        <f t="shared" si="46"/>
        <v>0</v>
      </c>
      <c r="AK68" s="81">
        <f t="shared" si="47"/>
        <v>0</v>
      </c>
    </row>
    <row r="69" spans="1:37">
      <c r="A69" s="421">
        <f t="shared" si="51"/>
        <v>67</v>
      </c>
      <c r="B69" s="331"/>
      <c r="C69" s="35"/>
      <c r="D69" s="419">
        <f>SUMIFS(SX!U$2:U$19,SX!$B$2:$B$19,'chia CN SX'!$C69)</f>
        <v>0</v>
      </c>
      <c r="E69" s="419">
        <f>SUMIFS(SX!V$2:V$19,SX!$B$2:$B$19,'chia CN SX'!$C69)</f>
        <v>0</v>
      </c>
      <c r="F69" s="419">
        <f>SUMIFS(SX!W$2:W$19,SX!$B$2:$B$19,'chia CN SX'!$C69)</f>
        <v>0</v>
      </c>
      <c r="G69" s="419">
        <f>SUMIFS(SX!X$2:X$19,SX!$B$2:$B$19,'chia CN SX'!$C69)</f>
        <v>0</v>
      </c>
      <c r="H69" s="419">
        <f>SUMIFS(SX!Y$2:Y$19,SX!$B$2:$B$19,'chia CN SX'!$C69)</f>
        <v>0</v>
      </c>
      <c r="I69" s="419">
        <f>SUMIFS(SX!Z$2:Z$19,SX!$B$2:$B$19,'chia CN SX'!$C69)</f>
        <v>0</v>
      </c>
      <c r="J69" s="419">
        <f>SUMIFS(SX!AA$2:AA$19,SX!$B$2:$B$19,'chia CN SX'!$C69)</f>
        <v>0</v>
      </c>
      <c r="K69" s="419">
        <f>SUMIFS(SX!AB$2:AB$19,SX!$B$2:$B$19,'chia CN SX'!$C69)</f>
        <v>0</v>
      </c>
      <c r="L69" s="419">
        <f>SUMIFS(SX!AC$2:AC$19,SX!$B$2:$B$19,'chia CN SX'!$C69)</f>
        <v>0</v>
      </c>
      <c r="M69" s="419">
        <f>SUMIFS(SX!AD$2:AD$19,SX!$B$2:$B$19,'chia CN SX'!$C69)</f>
        <v>0</v>
      </c>
      <c r="N69" s="419">
        <f>SUMIFS(SX!AE$2:AE$19,SX!$B$2:$B$19,'chia CN SX'!$C69)</f>
        <v>0</v>
      </c>
      <c r="O69" s="419">
        <f>SUMIFS(SX!AF$2:AF$19,SX!$B$2:$B$19,'chia CN SX'!$C69)</f>
        <v>0</v>
      </c>
      <c r="P69" s="419">
        <f>SUMIFS(SX!AG$2:AG$19,SX!$B$2:$B$19,'chia CN SX'!$C69)</f>
        <v>0</v>
      </c>
      <c r="Q69" s="419">
        <f>SUMIFS(SX!AH$2:AH$19,SX!$B$2:$B$19,'chia CN SX'!$C69)</f>
        <v>0</v>
      </c>
      <c r="R69" s="419">
        <f>SUMIFS(SX!AI$2:AI$19,SX!$B$2:$B$19,'chia CN SX'!$C69)</f>
        <v>0</v>
      </c>
      <c r="S69" s="419">
        <f>SUMIFS(SX!AJ$2:AJ$19,SX!$B$2:$B$19,'chia CN SX'!$C69)</f>
        <v>0</v>
      </c>
      <c r="V69" s="80" t="e">
        <f>'chia CN boc xe'!U69</f>
        <v>#REF!</v>
      </c>
      <c r="W69" s="81">
        <f t="shared" si="50"/>
        <v>0</v>
      </c>
      <c r="X69" s="81">
        <f t="shared" si="34"/>
        <v>0</v>
      </c>
      <c r="Y69" s="81">
        <f t="shared" si="35"/>
        <v>0</v>
      </c>
      <c r="Z69" s="81">
        <f t="shared" si="36"/>
        <v>0</v>
      </c>
      <c r="AA69" s="81">
        <f t="shared" si="37"/>
        <v>0</v>
      </c>
      <c r="AB69" s="81">
        <f t="shared" si="38"/>
        <v>0</v>
      </c>
      <c r="AC69" s="81">
        <f t="shared" si="39"/>
        <v>0</v>
      </c>
      <c r="AD69" s="81">
        <f t="shared" si="40"/>
        <v>0</v>
      </c>
      <c r="AE69" s="81">
        <f t="shared" si="41"/>
        <v>0</v>
      </c>
      <c r="AF69" s="81">
        <f t="shared" si="42"/>
        <v>0</v>
      </c>
      <c r="AG69" s="81">
        <f t="shared" si="43"/>
        <v>0</v>
      </c>
      <c r="AH69" s="81">
        <f t="shared" si="44"/>
        <v>0</v>
      </c>
      <c r="AI69" s="81">
        <f t="shared" si="45"/>
        <v>0</v>
      </c>
      <c r="AJ69" s="81">
        <f t="shared" si="46"/>
        <v>0</v>
      </c>
      <c r="AK69" s="81">
        <f t="shared" si="47"/>
        <v>0</v>
      </c>
    </row>
    <row r="70" spans="1:37">
      <c r="A70" s="421">
        <f t="shared" si="51"/>
        <v>68</v>
      </c>
      <c r="B70" s="331"/>
      <c r="C70" s="35"/>
      <c r="D70" s="419">
        <f>SUMIFS(SX!U$2:U$19,SX!$B$2:$B$19,'chia CN SX'!$C70)</f>
        <v>0</v>
      </c>
      <c r="E70" s="419">
        <f>SUMIFS(SX!V$2:V$19,SX!$B$2:$B$19,'chia CN SX'!$C70)</f>
        <v>0</v>
      </c>
      <c r="F70" s="419">
        <f>SUMIFS(SX!W$2:W$19,SX!$B$2:$B$19,'chia CN SX'!$C70)</f>
        <v>0</v>
      </c>
      <c r="G70" s="419">
        <f>SUMIFS(SX!X$2:X$19,SX!$B$2:$B$19,'chia CN SX'!$C70)</f>
        <v>0</v>
      </c>
      <c r="H70" s="419">
        <f>SUMIFS(SX!Y$2:Y$19,SX!$B$2:$B$19,'chia CN SX'!$C70)</f>
        <v>0</v>
      </c>
      <c r="I70" s="419">
        <f>SUMIFS(SX!Z$2:Z$19,SX!$B$2:$B$19,'chia CN SX'!$C70)</f>
        <v>0</v>
      </c>
      <c r="J70" s="419">
        <f>SUMIFS(SX!AA$2:AA$19,SX!$B$2:$B$19,'chia CN SX'!$C70)</f>
        <v>0</v>
      </c>
      <c r="K70" s="419">
        <f>SUMIFS(SX!AB$2:AB$19,SX!$B$2:$B$19,'chia CN SX'!$C70)</f>
        <v>0</v>
      </c>
      <c r="L70" s="419">
        <f>SUMIFS(SX!AC$2:AC$19,SX!$B$2:$B$19,'chia CN SX'!$C70)</f>
        <v>0</v>
      </c>
      <c r="M70" s="419">
        <f>SUMIFS(SX!AD$2:AD$19,SX!$B$2:$B$19,'chia CN SX'!$C70)</f>
        <v>0</v>
      </c>
      <c r="N70" s="419">
        <f>SUMIFS(SX!AE$2:AE$19,SX!$B$2:$B$19,'chia CN SX'!$C70)</f>
        <v>0</v>
      </c>
      <c r="O70" s="419">
        <f>SUMIFS(SX!AF$2:AF$19,SX!$B$2:$B$19,'chia CN SX'!$C70)</f>
        <v>0</v>
      </c>
      <c r="P70" s="419">
        <f>SUMIFS(SX!AG$2:AG$19,SX!$B$2:$B$19,'chia CN SX'!$C70)</f>
        <v>0</v>
      </c>
      <c r="Q70" s="419">
        <f>SUMIFS(SX!AH$2:AH$19,SX!$B$2:$B$19,'chia CN SX'!$C70)</f>
        <v>0</v>
      </c>
      <c r="R70" s="419">
        <f>SUMIFS(SX!AI$2:AI$19,SX!$B$2:$B$19,'chia CN SX'!$C70)</f>
        <v>0</v>
      </c>
      <c r="S70" s="419">
        <f>SUMIFS(SX!AJ$2:AJ$19,SX!$B$2:$B$19,'chia CN SX'!$C70)</f>
        <v>0</v>
      </c>
      <c r="V70" s="80" t="e">
        <f>'chia CN boc xe'!U70</f>
        <v>#REF!</v>
      </c>
      <c r="W70" s="81">
        <f t="shared" si="50"/>
        <v>0</v>
      </c>
      <c r="X70" s="81">
        <f t="shared" si="34"/>
        <v>0</v>
      </c>
      <c r="Y70" s="81">
        <f t="shared" si="35"/>
        <v>0</v>
      </c>
      <c r="Z70" s="81">
        <f t="shared" si="36"/>
        <v>0</v>
      </c>
      <c r="AA70" s="81">
        <f t="shared" si="37"/>
        <v>0</v>
      </c>
      <c r="AB70" s="81">
        <f t="shared" si="38"/>
        <v>0</v>
      </c>
      <c r="AC70" s="81">
        <f t="shared" si="39"/>
        <v>0</v>
      </c>
      <c r="AD70" s="81">
        <f t="shared" si="40"/>
        <v>0</v>
      </c>
      <c r="AE70" s="81">
        <f t="shared" si="41"/>
        <v>0</v>
      </c>
      <c r="AF70" s="81">
        <f t="shared" si="42"/>
        <v>0</v>
      </c>
      <c r="AG70" s="81">
        <f t="shared" si="43"/>
        <v>0</v>
      </c>
      <c r="AH70" s="81">
        <f t="shared" si="44"/>
        <v>0</v>
      </c>
      <c r="AI70" s="81">
        <f t="shared" si="45"/>
        <v>0</v>
      </c>
      <c r="AJ70" s="81">
        <f t="shared" si="46"/>
        <v>0</v>
      </c>
      <c r="AK70" s="81">
        <f t="shared" si="47"/>
        <v>0</v>
      </c>
    </row>
    <row r="71" spans="1:37">
      <c r="A71" s="421">
        <f t="shared" si="51"/>
        <v>69</v>
      </c>
      <c r="B71" s="331"/>
      <c r="C71" s="35"/>
      <c r="D71" s="419">
        <f>SUMIFS(SX!U$2:U$19,SX!$B$2:$B$19,'chia CN SX'!$C71)</f>
        <v>0</v>
      </c>
      <c r="E71" s="419">
        <f>SUMIFS(SX!V$2:V$19,SX!$B$2:$B$19,'chia CN SX'!$C71)</f>
        <v>0</v>
      </c>
      <c r="F71" s="419">
        <f>SUMIFS(SX!W$2:W$19,SX!$B$2:$B$19,'chia CN SX'!$C71)</f>
        <v>0</v>
      </c>
      <c r="G71" s="419">
        <f>SUMIFS(SX!X$2:X$19,SX!$B$2:$B$19,'chia CN SX'!$C71)</f>
        <v>0</v>
      </c>
      <c r="H71" s="419">
        <f>SUMIFS(SX!Y$2:Y$19,SX!$B$2:$B$19,'chia CN SX'!$C71)</f>
        <v>0</v>
      </c>
      <c r="I71" s="419">
        <f>SUMIFS(SX!Z$2:Z$19,SX!$B$2:$B$19,'chia CN SX'!$C71)</f>
        <v>0</v>
      </c>
      <c r="J71" s="419">
        <f>SUMIFS(SX!AA$2:AA$19,SX!$B$2:$B$19,'chia CN SX'!$C71)</f>
        <v>0</v>
      </c>
      <c r="K71" s="419">
        <f>SUMIFS(SX!AB$2:AB$19,SX!$B$2:$B$19,'chia CN SX'!$C71)</f>
        <v>0</v>
      </c>
      <c r="L71" s="419">
        <f>SUMIFS(SX!AC$2:AC$19,SX!$B$2:$B$19,'chia CN SX'!$C71)</f>
        <v>0</v>
      </c>
      <c r="M71" s="419">
        <f>SUMIFS(SX!AD$2:AD$19,SX!$B$2:$B$19,'chia CN SX'!$C71)</f>
        <v>0</v>
      </c>
      <c r="N71" s="419">
        <f>SUMIFS(SX!AE$2:AE$19,SX!$B$2:$B$19,'chia CN SX'!$C71)</f>
        <v>0</v>
      </c>
      <c r="O71" s="419">
        <f>SUMIFS(SX!AF$2:AF$19,SX!$B$2:$B$19,'chia CN SX'!$C71)</f>
        <v>0</v>
      </c>
      <c r="P71" s="419">
        <f>SUMIFS(SX!AG$2:AG$19,SX!$B$2:$B$19,'chia CN SX'!$C71)</f>
        <v>0</v>
      </c>
      <c r="Q71" s="419">
        <f>SUMIFS(SX!AH$2:AH$19,SX!$B$2:$B$19,'chia CN SX'!$C71)</f>
        <v>0</v>
      </c>
      <c r="R71" s="419">
        <f>SUMIFS(SX!AI$2:AI$19,SX!$B$2:$B$19,'chia CN SX'!$C71)</f>
        <v>0</v>
      </c>
      <c r="S71" s="419">
        <f>SUMIFS(SX!AJ$2:AJ$19,SX!$B$2:$B$19,'chia CN SX'!$C71)</f>
        <v>0</v>
      </c>
      <c r="V71" s="80" t="e">
        <f>'chia CN boc xe'!U71</f>
        <v>#REF!</v>
      </c>
      <c r="W71" s="81">
        <f t="shared" si="50"/>
        <v>0</v>
      </c>
      <c r="X71" s="81">
        <f t="shared" si="34"/>
        <v>0</v>
      </c>
      <c r="Y71" s="81">
        <f t="shared" si="35"/>
        <v>0</v>
      </c>
      <c r="Z71" s="81">
        <f t="shared" si="36"/>
        <v>0</v>
      </c>
      <c r="AA71" s="81">
        <f t="shared" si="37"/>
        <v>0</v>
      </c>
      <c r="AB71" s="81">
        <f t="shared" si="38"/>
        <v>0</v>
      </c>
      <c r="AC71" s="81">
        <f t="shared" si="39"/>
        <v>0</v>
      </c>
      <c r="AD71" s="81">
        <f t="shared" si="40"/>
        <v>0</v>
      </c>
      <c r="AE71" s="81">
        <f t="shared" si="41"/>
        <v>0</v>
      </c>
      <c r="AF71" s="81">
        <f t="shared" si="42"/>
        <v>0</v>
      </c>
      <c r="AG71" s="81">
        <f t="shared" si="43"/>
        <v>0</v>
      </c>
      <c r="AH71" s="81">
        <f t="shared" si="44"/>
        <v>0</v>
      </c>
      <c r="AI71" s="81">
        <f t="shared" si="45"/>
        <v>0</v>
      </c>
      <c r="AJ71" s="81">
        <f t="shared" si="46"/>
        <v>0</v>
      </c>
      <c r="AK71" s="81">
        <f t="shared" si="47"/>
        <v>0</v>
      </c>
    </row>
    <row r="72" spans="1:37">
      <c r="A72" s="421">
        <f t="shared" si="51"/>
        <v>70</v>
      </c>
      <c r="B72" s="331"/>
      <c r="C72" s="35"/>
      <c r="D72" s="419">
        <f>SUMIFS(SX!U$2:U$19,SX!$B$2:$B$19,'chia CN SX'!$C72)</f>
        <v>0</v>
      </c>
      <c r="E72" s="419">
        <f>SUMIFS(SX!V$2:V$19,SX!$B$2:$B$19,'chia CN SX'!$C72)</f>
        <v>0</v>
      </c>
      <c r="F72" s="419">
        <f>SUMIFS(SX!W$2:W$19,SX!$B$2:$B$19,'chia CN SX'!$C72)</f>
        <v>0</v>
      </c>
      <c r="G72" s="419">
        <f>SUMIFS(SX!X$2:X$19,SX!$B$2:$B$19,'chia CN SX'!$C72)</f>
        <v>0</v>
      </c>
      <c r="H72" s="419">
        <f>SUMIFS(SX!Y$2:Y$19,SX!$B$2:$B$19,'chia CN SX'!$C72)</f>
        <v>0</v>
      </c>
      <c r="I72" s="419">
        <f>SUMIFS(SX!Z$2:Z$19,SX!$B$2:$B$19,'chia CN SX'!$C72)</f>
        <v>0</v>
      </c>
      <c r="J72" s="419">
        <f>SUMIFS(SX!AA$2:AA$19,SX!$B$2:$B$19,'chia CN SX'!$C72)</f>
        <v>0</v>
      </c>
      <c r="K72" s="419">
        <f>SUMIFS(SX!AB$2:AB$19,SX!$B$2:$B$19,'chia CN SX'!$C72)</f>
        <v>0</v>
      </c>
      <c r="L72" s="419">
        <f>SUMIFS(SX!AC$2:AC$19,SX!$B$2:$B$19,'chia CN SX'!$C72)</f>
        <v>0</v>
      </c>
      <c r="M72" s="419">
        <f>SUMIFS(SX!AD$2:AD$19,SX!$B$2:$B$19,'chia CN SX'!$C72)</f>
        <v>0</v>
      </c>
      <c r="N72" s="419">
        <f>SUMIFS(SX!AE$2:AE$19,SX!$B$2:$B$19,'chia CN SX'!$C72)</f>
        <v>0</v>
      </c>
      <c r="O72" s="419">
        <f>SUMIFS(SX!AF$2:AF$19,SX!$B$2:$B$19,'chia CN SX'!$C72)</f>
        <v>0</v>
      </c>
      <c r="P72" s="419">
        <f>SUMIFS(SX!AG$2:AG$19,SX!$B$2:$B$19,'chia CN SX'!$C72)</f>
        <v>0</v>
      </c>
      <c r="Q72" s="419">
        <f>SUMIFS(SX!AH$2:AH$19,SX!$B$2:$B$19,'chia CN SX'!$C72)</f>
        <v>0</v>
      </c>
      <c r="R72" s="419">
        <f>SUMIFS(SX!AI$2:AI$19,SX!$B$2:$B$19,'chia CN SX'!$C72)</f>
        <v>0</v>
      </c>
      <c r="S72" s="419">
        <f>SUMIFS(SX!AJ$2:AJ$19,SX!$B$2:$B$19,'chia CN SX'!$C72)</f>
        <v>0</v>
      </c>
      <c r="V72" s="80" t="str">
        <f>'chia CN boc xe'!U72</f>
        <v>Hà Thanh Truyền</v>
      </c>
      <c r="W72" s="81">
        <f t="shared" si="50"/>
        <v>0</v>
      </c>
      <c r="X72" s="81">
        <f t="shared" si="34"/>
        <v>0</v>
      </c>
      <c r="Y72" s="81">
        <f t="shared" si="35"/>
        <v>0</v>
      </c>
      <c r="Z72" s="81">
        <f t="shared" si="36"/>
        <v>0</v>
      </c>
      <c r="AA72" s="81">
        <f t="shared" si="37"/>
        <v>0</v>
      </c>
      <c r="AB72" s="81">
        <f t="shared" si="38"/>
        <v>0</v>
      </c>
      <c r="AC72" s="81">
        <f t="shared" si="39"/>
        <v>0</v>
      </c>
      <c r="AD72" s="81">
        <f t="shared" si="40"/>
        <v>0</v>
      </c>
      <c r="AE72" s="81">
        <f t="shared" si="41"/>
        <v>0</v>
      </c>
      <c r="AF72" s="81">
        <f t="shared" si="42"/>
        <v>0</v>
      </c>
      <c r="AG72" s="81">
        <f t="shared" si="43"/>
        <v>0</v>
      </c>
      <c r="AH72" s="81">
        <f t="shared" si="44"/>
        <v>0</v>
      </c>
      <c r="AI72" s="81">
        <f t="shared" si="45"/>
        <v>0</v>
      </c>
      <c r="AJ72" s="81">
        <f t="shared" si="46"/>
        <v>0</v>
      </c>
      <c r="AK72" s="81">
        <f t="shared" si="47"/>
        <v>0</v>
      </c>
    </row>
    <row r="73" spans="1:37">
      <c r="A73" s="421">
        <f t="shared" si="51"/>
        <v>71</v>
      </c>
      <c r="B73" s="331"/>
      <c r="C73" s="35"/>
      <c r="D73" s="419">
        <f>SUMIFS(SX!U$2:U$19,SX!$B$2:$B$19,'chia CN SX'!$C73)</f>
        <v>0</v>
      </c>
      <c r="E73" s="419">
        <f>SUMIFS(SX!V$2:V$19,SX!$B$2:$B$19,'chia CN SX'!$C73)</f>
        <v>0</v>
      </c>
      <c r="F73" s="419">
        <f>SUMIFS(SX!W$2:W$19,SX!$B$2:$B$19,'chia CN SX'!$C73)</f>
        <v>0</v>
      </c>
      <c r="G73" s="419">
        <f>SUMIFS(SX!X$2:X$19,SX!$B$2:$B$19,'chia CN SX'!$C73)</f>
        <v>0</v>
      </c>
      <c r="H73" s="419">
        <f>SUMIFS(SX!Y$2:Y$19,SX!$B$2:$B$19,'chia CN SX'!$C73)</f>
        <v>0</v>
      </c>
      <c r="I73" s="419">
        <f>SUMIFS(SX!Z$2:Z$19,SX!$B$2:$B$19,'chia CN SX'!$C73)</f>
        <v>0</v>
      </c>
      <c r="J73" s="419">
        <f>SUMIFS(SX!AA$2:AA$19,SX!$B$2:$B$19,'chia CN SX'!$C73)</f>
        <v>0</v>
      </c>
      <c r="K73" s="419">
        <f>SUMIFS(SX!AB$2:AB$19,SX!$B$2:$B$19,'chia CN SX'!$C73)</f>
        <v>0</v>
      </c>
      <c r="L73" s="419">
        <f>SUMIFS(SX!AC$2:AC$19,SX!$B$2:$B$19,'chia CN SX'!$C73)</f>
        <v>0</v>
      </c>
      <c r="M73" s="419">
        <f>SUMIFS(SX!AD$2:AD$19,SX!$B$2:$B$19,'chia CN SX'!$C73)</f>
        <v>0</v>
      </c>
      <c r="N73" s="419">
        <f>SUMIFS(SX!AE$2:AE$19,SX!$B$2:$B$19,'chia CN SX'!$C73)</f>
        <v>0</v>
      </c>
      <c r="O73" s="419">
        <f>SUMIFS(SX!AF$2:AF$19,SX!$B$2:$B$19,'chia CN SX'!$C73)</f>
        <v>0</v>
      </c>
      <c r="P73" s="419">
        <f>SUMIFS(SX!AG$2:AG$19,SX!$B$2:$B$19,'chia CN SX'!$C73)</f>
        <v>0</v>
      </c>
      <c r="Q73" s="419">
        <f>SUMIFS(SX!AH$2:AH$19,SX!$B$2:$B$19,'chia CN SX'!$C73)</f>
        <v>0</v>
      </c>
      <c r="R73" s="419">
        <f>SUMIFS(SX!AI$2:AI$19,SX!$B$2:$B$19,'chia CN SX'!$C73)</f>
        <v>0</v>
      </c>
      <c r="S73" s="419">
        <f>SUMIFS(SX!AJ$2:AJ$19,SX!$B$2:$B$19,'chia CN SX'!$C73)</f>
        <v>0</v>
      </c>
    </row>
    <row r="74" spans="1:37">
      <c r="A74" s="421">
        <f t="shared" si="51"/>
        <v>72</v>
      </c>
      <c r="B74" s="331"/>
      <c r="C74" s="35"/>
      <c r="D74" s="419">
        <f>SUMIFS(SX!U$2:U$19,SX!$B$2:$B$19,'chia CN SX'!$C74)</f>
        <v>0</v>
      </c>
      <c r="E74" s="419">
        <f>SUMIFS(SX!V$2:V$19,SX!$B$2:$B$19,'chia CN SX'!$C74)</f>
        <v>0</v>
      </c>
      <c r="F74" s="419">
        <f>SUMIFS(SX!W$2:W$19,SX!$B$2:$B$19,'chia CN SX'!$C74)</f>
        <v>0</v>
      </c>
      <c r="G74" s="419">
        <f>SUMIFS(SX!X$2:X$19,SX!$B$2:$B$19,'chia CN SX'!$C74)</f>
        <v>0</v>
      </c>
      <c r="H74" s="419">
        <f>SUMIFS(SX!Y$2:Y$19,SX!$B$2:$B$19,'chia CN SX'!$C74)</f>
        <v>0</v>
      </c>
      <c r="I74" s="419">
        <f>SUMIFS(SX!Z$2:Z$19,SX!$B$2:$B$19,'chia CN SX'!$C74)</f>
        <v>0</v>
      </c>
      <c r="J74" s="419">
        <f>SUMIFS(SX!AA$2:AA$19,SX!$B$2:$B$19,'chia CN SX'!$C74)</f>
        <v>0</v>
      </c>
      <c r="K74" s="419">
        <f>SUMIFS(SX!AB$2:AB$19,SX!$B$2:$B$19,'chia CN SX'!$C74)</f>
        <v>0</v>
      </c>
      <c r="L74" s="419">
        <f>SUMIFS(SX!AC$2:AC$19,SX!$B$2:$B$19,'chia CN SX'!$C74)</f>
        <v>0</v>
      </c>
      <c r="M74" s="419">
        <f>SUMIFS(SX!AD$2:AD$19,SX!$B$2:$B$19,'chia CN SX'!$C74)</f>
        <v>0</v>
      </c>
      <c r="N74" s="419">
        <f>SUMIFS(SX!AE$2:AE$19,SX!$B$2:$B$19,'chia CN SX'!$C74)</f>
        <v>0</v>
      </c>
      <c r="O74" s="419">
        <f>SUMIFS(SX!AF$2:AF$19,SX!$B$2:$B$19,'chia CN SX'!$C74)</f>
        <v>0</v>
      </c>
      <c r="P74" s="419">
        <f>SUMIFS(SX!AG$2:AG$19,SX!$B$2:$B$19,'chia CN SX'!$C74)</f>
        <v>0</v>
      </c>
      <c r="Q74" s="419">
        <f>SUMIFS(SX!AH$2:AH$19,SX!$B$2:$B$19,'chia CN SX'!$C74)</f>
        <v>0</v>
      </c>
      <c r="R74" s="419">
        <f>SUMIFS(SX!AI$2:AI$19,SX!$B$2:$B$19,'chia CN SX'!$C74)</f>
        <v>0</v>
      </c>
      <c r="S74" s="419">
        <f>SUMIFS(SX!AJ$2:AJ$19,SX!$B$2:$B$19,'chia CN SX'!$C74)</f>
        <v>0</v>
      </c>
    </row>
    <row r="75" spans="1:37">
      <c r="A75" s="421">
        <f t="shared" si="51"/>
        <v>73</v>
      </c>
      <c r="B75" s="331"/>
      <c r="C75" s="35"/>
      <c r="D75" s="419">
        <f>SUMIFS(SX!U$2:U$19,SX!$B$2:$B$19,'chia CN SX'!$C75)</f>
        <v>0</v>
      </c>
      <c r="E75" s="419">
        <f>SUMIFS(SX!V$2:V$19,SX!$B$2:$B$19,'chia CN SX'!$C75)</f>
        <v>0</v>
      </c>
      <c r="F75" s="419">
        <f>SUMIFS(SX!W$2:W$19,SX!$B$2:$B$19,'chia CN SX'!$C75)</f>
        <v>0</v>
      </c>
      <c r="G75" s="419">
        <f>SUMIFS(SX!X$2:X$19,SX!$B$2:$B$19,'chia CN SX'!$C75)</f>
        <v>0</v>
      </c>
      <c r="H75" s="419">
        <f>SUMIFS(SX!Y$2:Y$19,SX!$B$2:$B$19,'chia CN SX'!$C75)</f>
        <v>0</v>
      </c>
      <c r="I75" s="419">
        <f>SUMIFS(SX!Z$2:Z$19,SX!$B$2:$B$19,'chia CN SX'!$C75)</f>
        <v>0</v>
      </c>
      <c r="J75" s="419">
        <f>SUMIFS(SX!AA$2:AA$19,SX!$B$2:$B$19,'chia CN SX'!$C75)</f>
        <v>0</v>
      </c>
      <c r="K75" s="419">
        <f>SUMIFS(SX!AB$2:AB$19,SX!$B$2:$B$19,'chia CN SX'!$C75)</f>
        <v>0</v>
      </c>
      <c r="L75" s="419">
        <f>SUMIFS(SX!AC$2:AC$19,SX!$B$2:$B$19,'chia CN SX'!$C75)</f>
        <v>0</v>
      </c>
      <c r="M75" s="419">
        <f>SUMIFS(SX!AD$2:AD$19,SX!$B$2:$B$19,'chia CN SX'!$C75)</f>
        <v>0</v>
      </c>
      <c r="N75" s="419">
        <f>SUMIFS(SX!AE$2:AE$19,SX!$B$2:$B$19,'chia CN SX'!$C75)</f>
        <v>0</v>
      </c>
      <c r="O75" s="419">
        <f>SUMIFS(SX!AF$2:AF$19,SX!$B$2:$B$19,'chia CN SX'!$C75)</f>
        <v>0</v>
      </c>
      <c r="P75" s="419">
        <f>SUMIFS(SX!AG$2:AG$19,SX!$B$2:$B$19,'chia CN SX'!$C75)</f>
        <v>0</v>
      </c>
      <c r="Q75" s="419">
        <f>SUMIFS(SX!AH$2:AH$19,SX!$B$2:$B$19,'chia CN SX'!$C75)</f>
        <v>0</v>
      </c>
      <c r="R75" s="419">
        <f>SUMIFS(SX!AI$2:AI$19,SX!$B$2:$B$19,'chia CN SX'!$C75)</f>
        <v>0</v>
      </c>
      <c r="S75" s="419">
        <f>SUMIFS(SX!AJ$2:AJ$19,SX!$B$2:$B$19,'chia CN SX'!$C75)</f>
        <v>0</v>
      </c>
    </row>
    <row r="76" spans="1:37">
      <c r="A76" s="421">
        <f t="shared" si="51"/>
        <v>74</v>
      </c>
      <c r="B76" s="331"/>
      <c r="C76" s="35"/>
      <c r="D76" s="419">
        <f>SUMIFS(SX!U$2:U$19,SX!$B$2:$B$19,'chia CN SX'!$C76)</f>
        <v>0</v>
      </c>
      <c r="E76" s="419">
        <f>SUMIFS(SX!V$2:V$19,SX!$B$2:$B$19,'chia CN SX'!$C76)</f>
        <v>0</v>
      </c>
      <c r="F76" s="419">
        <f>SUMIFS(SX!W$2:W$19,SX!$B$2:$B$19,'chia CN SX'!$C76)</f>
        <v>0</v>
      </c>
      <c r="G76" s="419">
        <f>SUMIFS(SX!X$2:X$19,SX!$B$2:$B$19,'chia CN SX'!$C76)</f>
        <v>0</v>
      </c>
      <c r="H76" s="419">
        <f>SUMIFS(SX!Y$2:Y$19,SX!$B$2:$B$19,'chia CN SX'!$C76)</f>
        <v>0</v>
      </c>
      <c r="I76" s="419">
        <f>SUMIFS(SX!Z$2:Z$19,SX!$B$2:$B$19,'chia CN SX'!$C76)</f>
        <v>0</v>
      </c>
      <c r="J76" s="419">
        <f>SUMIFS(SX!AA$2:AA$19,SX!$B$2:$B$19,'chia CN SX'!$C76)</f>
        <v>0</v>
      </c>
      <c r="K76" s="419">
        <f>SUMIFS(SX!AB$2:AB$19,SX!$B$2:$B$19,'chia CN SX'!$C76)</f>
        <v>0</v>
      </c>
      <c r="L76" s="419">
        <f>SUMIFS(SX!AC$2:AC$19,SX!$B$2:$B$19,'chia CN SX'!$C76)</f>
        <v>0</v>
      </c>
      <c r="M76" s="419">
        <f>SUMIFS(SX!AD$2:AD$19,SX!$B$2:$B$19,'chia CN SX'!$C76)</f>
        <v>0</v>
      </c>
      <c r="N76" s="419">
        <f>SUMIFS(SX!AE$2:AE$19,SX!$B$2:$B$19,'chia CN SX'!$C76)</f>
        <v>0</v>
      </c>
      <c r="O76" s="419">
        <f>SUMIFS(SX!AF$2:AF$19,SX!$B$2:$B$19,'chia CN SX'!$C76)</f>
        <v>0</v>
      </c>
      <c r="P76" s="419">
        <f>SUMIFS(SX!AG$2:AG$19,SX!$B$2:$B$19,'chia CN SX'!$C76)</f>
        <v>0</v>
      </c>
      <c r="Q76" s="419">
        <f>SUMIFS(SX!AH$2:AH$19,SX!$B$2:$B$19,'chia CN SX'!$C76)</f>
        <v>0</v>
      </c>
      <c r="R76" s="419">
        <f>SUMIFS(SX!AI$2:AI$19,SX!$B$2:$B$19,'chia CN SX'!$C76)</f>
        <v>0</v>
      </c>
      <c r="S76" s="419">
        <f>SUMIFS(SX!AJ$2:AJ$19,SX!$B$2:$B$19,'chia CN SX'!$C76)</f>
        <v>0</v>
      </c>
    </row>
    <row r="77" spans="1:37">
      <c r="A77" s="421">
        <f t="shared" si="51"/>
        <v>75</v>
      </c>
      <c r="B77" s="331"/>
      <c r="C77" s="35"/>
      <c r="D77" s="419">
        <f>SUMIFS(SX!U$2:U$19,SX!$B$2:$B$19,'chia CN SX'!$C77)</f>
        <v>0</v>
      </c>
      <c r="E77" s="419">
        <f>SUMIFS(SX!V$2:V$19,SX!$B$2:$B$19,'chia CN SX'!$C77)</f>
        <v>0</v>
      </c>
      <c r="F77" s="419">
        <f>SUMIFS(SX!W$2:W$19,SX!$B$2:$B$19,'chia CN SX'!$C77)</f>
        <v>0</v>
      </c>
      <c r="G77" s="419">
        <f>SUMIFS(SX!X$2:X$19,SX!$B$2:$B$19,'chia CN SX'!$C77)</f>
        <v>0</v>
      </c>
      <c r="H77" s="419">
        <f>SUMIFS(SX!Y$2:Y$19,SX!$B$2:$B$19,'chia CN SX'!$C77)</f>
        <v>0</v>
      </c>
      <c r="I77" s="419">
        <f>SUMIFS(SX!Z$2:Z$19,SX!$B$2:$B$19,'chia CN SX'!$C77)</f>
        <v>0</v>
      </c>
      <c r="J77" s="419">
        <f>SUMIFS(SX!AA$2:AA$19,SX!$B$2:$B$19,'chia CN SX'!$C77)</f>
        <v>0</v>
      </c>
      <c r="K77" s="419">
        <f>SUMIFS(SX!AB$2:AB$19,SX!$B$2:$B$19,'chia CN SX'!$C77)</f>
        <v>0</v>
      </c>
      <c r="L77" s="419">
        <f>SUMIFS(SX!AC$2:AC$19,SX!$B$2:$B$19,'chia CN SX'!$C77)</f>
        <v>0</v>
      </c>
      <c r="M77" s="419">
        <f>SUMIFS(SX!AD$2:AD$19,SX!$B$2:$B$19,'chia CN SX'!$C77)</f>
        <v>0</v>
      </c>
      <c r="N77" s="419">
        <f>SUMIFS(SX!AE$2:AE$19,SX!$B$2:$B$19,'chia CN SX'!$C77)</f>
        <v>0</v>
      </c>
      <c r="O77" s="419">
        <f>SUMIFS(SX!AF$2:AF$19,SX!$B$2:$B$19,'chia CN SX'!$C77)</f>
        <v>0</v>
      </c>
      <c r="P77" s="419">
        <f>SUMIFS(SX!AG$2:AG$19,SX!$B$2:$B$19,'chia CN SX'!$C77)</f>
        <v>0</v>
      </c>
      <c r="Q77" s="419">
        <f>SUMIFS(SX!AH$2:AH$19,SX!$B$2:$B$19,'chia CN SX'!$C77)</f>
        <v>0</v>
      </c>
      <c r="R77" s="419">
        <f>SUMIFS(SX!AI$2:AI$19,SX!$B$2:$B$19,'chia CN SX'!$C77)</f>
        <v>0</v>
      </c>
      <c r="S77" s="419">
        <f>SUMIFS(SX!AJ$2:AJ$19,SX!$B$2:$B$19,'chia CN SX'!$C77)</f>
        <v>0</v>
      </c>
    </row>
    <row r="78" spans="1:37">
      <c r="A78" s="421">
        <f t="shared" si="51"/>
        <v>76</v>
      </c>
      <c r="B78" s="331"/>
      <c r="C78" s="35"/>
      <c r="D78" s="419">
        <f>SUMIFS(SX!U$2:U$19,SX!$B$2:$B$19,'chia CN SX'!$C78)</f>
        <v>0</v>
      </c>
      <c r="E78" s="419">
        <f>SUMIFS(SX!V$2:V$19,SX!$B$2:$B$19,'chia CN SX'!$C78)</f>
        <v>0</v>
      </c>
      <c r="F78" s="419">
        <f>SUMIFS(SX!W$2:W$19,SX!$B$2:$B$19,'chia CN SX'!$C78)</f>
        <v>0</v>
      </c>
      <c r="G78" s="419">
        <f>SUMIFS(SX!X$2:X$19,SX!$B$2:$B$19,'chia CN SX'!$C78)</f>
        <v>0</v>
      </c>
      <c r="H78" s="419">
        <f>SUMIFS(SX!Y$2:Y$19,SX!$B$2:$B$19,'chia CN SX'!$C78)</f>
        <v>0</v>
      </c>
      <c r="I78" s="419">
        <f>SUMIFS(SX!Z$2:Z$19,SX!$B$2:$B$19,'chia CN SX'!$C78)</f>
        <v>0</v>
      </c>
      <c r="J78" s="419">
        <f>SUMIFS(SX!AA$2:AA$19,SX!$B$2:$B$19,'chia CN SX'!$C78)</f>
        <v>0</v>
      </c>
      <c r="K78" s="419">
        <f>SUMIFS(SX!AB$2:AB$19,SX!$B$2:$B$19,'chia CN SX'!$C78)</f>
        <v>0</v>
      </c>
      <c r="L78" s="419">
        <f>SUMIFS(SX!AC$2:AC$19,SX!$B$2:$B$19,'chia CN SX'!$C78)</f>
        <v>0</v>
      </c>
      <c r="M78" s="419">
        <f>SUMIFS(SX!AD$2:AD$19,SX!$B$2:$B$19,'chia CN SX'!$C78)</f>
        <v>0</v>
      </c>
      <c r="N78" s="419">
        <f>SUMIFS(SX!AE$2:AE$19,SX!$B$2:$B$19,'chia CN SX'!$C78)</f>
        <v>0</v>
      </c>
      <c r="O78" s="419">
        <f>SUMIFS(SX!AF$2:AF$19,SX!$B$2:$B$19,'chia CN SX'!$C78)</f>
        <v>0</v>
      </c>
      <c r="P78" s="419">
        <f>SUMIFS(SX!AG$2:AG$19,SX!$B$2:$B$19,'chia CN SX'!$C78)</f>
        <v>0</v>
      </c>
      <c r="Q78" s="419">
        <f>SUMIFS(SX!AH$2:AH$19,SX!$B$2:$B$19,'chia CN SX'!$C78)</f>
        <v>0</v>
      </c>
      <c r="R78" s="419">
        <f>SUMIFS(SX!AI$2:AI$19,SX!$B$2:$B$19,'chia CN SX'!$C78)</f>
        <v>0</v>
      </c>
      <c r="S78" s="419">
        <f>SUMIFS(SX!AJ$2:AJ$19,SX!$B$2:$B$19,'chia CN SX'!$C78)</f>
        <v>0</v>
      </c>
    </row>
    <row r="79" spans="1:37">
      <c r="A79" s="421">
        <f t="shared" si="51"/>
        <v>77</v>
      </c>
      <c r="B79" s="331"/>
      <c r="C79" s="35"/>
      <c r="D79" s="419">
        <f>SUMIFS(SX!U$2:U$19,SX!$B$2:$B$19,'chia CN SX'!$C79)</f>
        <v>0</v>
      </c>
      <c r="E79" s="419">
        <f>SUMIFS(SX!V$2:V$19,SX!$B$2:$B$19,'chia CN SX'!$C79)</f>
        <v>0</v>
      </c>
      <c r="F79" s="419">
        <f>SUMIFS(SX!W$2:W$19,SX!$B$2:$B$19,'chia CN SX'!$C79)</f>
        <v>0</v>
      </c>
      <c r="G79" s="419">
        <f>SUMIFS(SX!X$2:X$19,SX!$B$2:$B$19,'chia CN SX'!$C79)</f>
        <v>0</v>
      </c>
      <c r="H79" s="419">
        <f>SUMIFS(SX!Y$2:Y$19,SX!$B$2:$B$19,'chia CN SX'!$C79)</f>
        <v>0</v>
      </c>
      <c r="I79" s="419">
        <f>SUMIFS(SX!Z$2:Z$19,SX!$B$2:$B$19,'chia CN SX'!$C79)</f>
        <v>0</v>
      </c>
      <c r="J79" s="419">
        <f>SUMIFS(SX!AA$2:AA$19,SX!$B$2:$B$19,'chia CN SX'!$C79)</f>
        <v>0</v>
      </c>
      <c r="K79" s="419">
        <f>SUMIFS(SX!AB$2:AB$19,SX!$B$2:$B$19,'chia CN SX'!$C79)</f>
        <v>0</v>
      </c>
      <c r="L79" s="419">
        <f>SUMIFS(SX!AC$2:AC$19,SX!$B$2:$B$19,'chia CN SX'!$C79)</f>
        <v>0</v>
      </c>
      <c r="M79" s="419">
        <f>SUMIFS(SX!AD$2:AD$19,SX!$B$2:$B$19,'chia CN SX'!$C79)</f>
        <v>0</v>
      </c>
      <c r="N79" s="419">
        <f>SUMIFS(SX!AE$2:AE$19,SX!$B$2:$B$19,'chia CN SX'!$C79)</f>
        <v>0</v>
      </c>
      <c r="O79" s="419">
        <f>SUMIFS(SX!AF$2:AF$19,SX!$B$2:$B$19,'chia CN SX'!$C79)</f>
        <v>0</v>
      </c>
      <c r="P79" s="419">
        <f>SUMIFS(SX!AG$2:AG$19,SX!$B$2:$B$19,'chia CN SX'!$C79)</f>
        <v>0</v>
      </c>
      <c r="Q79" s="419">
        <f>SUMIFS(SX!AH$2:AH$19,SX!$B$2:$B$19,'chia CN SX'!$C79)</f>
        <v>0</v>
      </c>
      <c r="R79" s="419">
        <f>SUMIFS(SX!AI$2:AI$19,SX!$B$2:$B$19,'chia CN SX'!$C79)</f>
        <v>0</v>
      </c>
      <c r="S79" s="419">
        <f>SUMIFS(SX!AJ$2:AJ$19,SX!$B$2:$B$19,'chia CN SX'!$C79)</f>
        <v>0</v>
      </c>
    </row>
    <row r="80" spans="1:37">
      <c r="A80" s="421">
        <f t="shared" si="51"/>
        <v>78</v>
      </c>
      <c r="B80" s="331"/>
      <c r="C80" s="35"/>
      <c r="D80" s="419">
        <f>SUMIFS(SX!U$2:U$19,SX!$B$2:$B$19,'chia CN SX'!$C80)</f>
        <v>0</v>
      </c>
      <c r="E80" s="419">
        <f>SUMIFS(SX!V$2:V$19,SX!$B$2:$B$19,'chia CN SX'!$C80)</f>
        <v>0</v>
      </c>
      <c r="F80" s="419">
        <f>SUMIFS(SX!W$2:W$19,SX!$B$2:$B$19,'chia CN SX'!$C80)</f>
        <v>0</v>
      </c>
      <c r="G80" s="419">
        <f>SUMIFS(SX!X$2:X$19,SX!$B$2:$B$19,'chia CN SX'!$C80)</f>
        <v>0</v>
      </c>
      <c r="H80" s="419">
        <f>SUMIFS(SX!Y$2:Y$19,SX!$B$2:$B$19,'chia CN SX'!$C80)</f>
        <v>0</v>
      </c>
      <c r="I80" s="419">
        <f>SUMIFS(SX!Z$2:Z$19,SX!$B$2:$B$19,'chia CN SX'!$C80)</f>
        <v>0</v>
      </c>
      <c r="J80" s="419">
        <f>SUMIFS(SX!AA$2:AA$19,SX!$B$2:$B$19,'chia CN SX'!$C80)</f>
        <v>0</v>
      </c>
      <c r="K80" s="419">
        <f>SUMIFS(SX!AB$2:AB$19,SX!$B$2:$B$19,'chia CN SX'!$C80)</f>
        <v>0</v>
      </c>
      <c r="L80" s="419">
        <f>SUMIFS(SX!AC$2:AC$19,SX!$B$2:$B$19,'chia CN SX'!$C80)</f>
        <v>0</v>
      </c>
      <c r="M80" s="419">
        <f>SUMIFS(SX!AD$2:AD$19,SX!$B$2:$B$19,'chia CN SX'!$C80)</f>
        <v>0</v>
      </c>
      <c r="N80" s="419">
        <f>SUMIFS(SX!AE$2:AE$19,SX!$B$2:$B$19,'chia CN SX'!$C80)</f>
        <v>0</v>
      </c>
      <c r="O80" s="419">
        <f>SUMIFS(SX!AF$2:AF$19,SX!$B$2:$B$19,'chia CN SX'!$C80)</f>
        <v>0</v>
      </c>
      <c r="P80" s="419">
        <f>SUMIFS(SX!AG$2:AG$19,SX!$B$2:$B$19,'chia CN SX'!$C80)</f>
        <v>0</v>
      </c>
      <c r="Q80" s="419">
        <f>SUMIFS(SX!AH$2:AH$19,SX!$B$2:$B$19,'chia CN SX'!$C80)</f>
        <v>0</v>
      </c>
      <c r="R80" s="419">
        <f>SUMIFS(SX!AI$2:AI$19,SX!$B$2:$B$19,'chia CN SX'!$C80)</f>
        <v>0</v>
      </c>
      <c r="S80" s="419">
        <f>SUMIFS(SX!AJ$2:AJ$19,SX!$B$2:$B$19,'chia CN SX'!$C80)</f>
        <v>0</v>
      </c>
    </row>
    <row r="81" spans="1:19">
      <c r="A81" s="421">
        <f t="shared" si="51"/>
        <v>79</v>
      </c>
      <c r="B81" s="331"/>
      <c r="C81" s="35"/>
      <c r="D81" s="419">
        <f>SUMIFS(SX!U$2:U$19,SX!$B$2:$B$19,'chia CN SX'!$C81)</f>
        <v>0</v>
      </c>
      <c r="E81" s="419">
        <f>SUMIFS(SX!V$2:V$19,SX!$B$2:$B$19,'chia CN SX'!$C81)</f>
        <v>0</v>
      </c>
      <c r="F81" s="419">
        <f>SUMIFS(SX!W$2:W$19,SX!$B$2:$B$19,'chia CN SX'!$C81)</f>
        <v>0</v>
      </c>
      <c r="G81" s="419">
        <f>SUMIFS(SX!X$2:X$19,SX!$B$2:$B$19,'chia CN SX'!$C81)</f>
        <v>0</v>
      </c>
      <c r="H81" s="419">
        <f>SUMIFS(SX!Y$2:Y$19,SX!$B$2:$B$19,'chia CN SX'!$C81)</f>
        <v>0</v>
      </c>
      <c r="I81" s="419">
        <f>SUMIFS(SX!Z$2:Z$19,SX!$B$2:$B$19,'chia CN SX'!$C81)</f>
        <v>0</v>
      </c>
      <c r="J81" s="419">
        <f>SUMIFS(SX!AA$2:AA$19,SX!$B$2:$B$19,'chia CN SX'!$C81)</f>
        <v>0</v>
      </c>
      <c r="K81" s="419">
        <f>SUMIFS(SX!AB$2:AB$19,SX!$B$2:$B$19,'chia CN SX'!$C81)</f>
        <v>0</v>
      </c>
      <c r="L81" s="419">
        <f>SUMIFS(SX!AC$2:AC$19,SX!$B$2:$B$19,'chia CN SX'!$C81)</f>
        <v>0</v>
      </c>
      <c r="M81" s="419">
        <f>SUMIFS(SX!AD$2:AD$19,SX!$B$2:$B$19,'chia CN SX'!$C81)</f>
        <v>0</v>
      </c>
      <c r="N81" s="419">
        <f>SUMIFS(SX!AE$2:AE$19,SX!$B$2:$B$19,'chia CN SX'!$C81)</f>
        <v>0</v>
      </c>
      <c r="O81" s="419">
        <f>SUMIFS(SX!AF$2:AF$19,SX!$B$2:$B$19,'chia CN SX'!$C81)</f>
        <v>0</v>
      </c>
      <c r="P81" s="419">
        <f>SUMIFS(SX!AG$2:AG$19,SX!$B$2:$B$19,'chia CN SX'!$C81)</f>
        <v>0</v>
      </c>
      <c r="Q81" s="419">
        <f>SUMIFS(SX!AH$2:AH$19,SX!$B$2:$B$19,'chia CN SX'!$C81)</f>
        <v>0</v>
      </c>
      <c r="R81" s="419">
        <f>SUMIFS(SX!AI$2:AI$19,SX!$B$2:$B$19,'chia CN SX'!$C81)</f>
        <v>0</v>
      </c>
      <c r="S81" s="419">
        <f>SUMIFS(SX!AJ$2:AJ$19,SX!$B$2:$B$19,'chia CN SX'!$C81)</f>
        <v>0</v>
      </c>
    </row>
    <row r="82" spans="1:19">
      <c r="A82" s="421">
        <f t="shared" si="51"/>
        <v>80</v>
      </c>
      <c r="B82" s="331"/>
      <c r="C82" s="35"/>
      <c r="D82" s="419">
        <f>SUMIFS(SX!U$2:U$19,SX!$B$2:$B$19,'chia CN SX'!$C82)</f>
        <v>0</v>
      </c>
      <c r="E82" s="419">
        <f>SUMIFS(SX!V$2:V$19,SX!$B$2:$B$19,'chia CN SX'!$C82)</f>
        <v>0</v>
      </c>
      <c r="F82" s="419">
        <f>SUMIFS(SX!W$2:W$19,SX!$B$2:$B$19,'chia CN SX'!$C82)</f>
        <v>0</v>
      </c>
      <c r="G82" s="419">
        <f>SUMIFS(SX!X$2:X$19,SX!$B$2:$B$19,'chia CN SX'!$C82)</f>
        <v>0</v>
      </c>
      <c r="H82" s="419">
        <f>SUMIFS(SX!Y$2:Y$19,SX!$B$2:$B$19,'chia CN SX'!$C82)</f>
        <v>0</v>
      </c>
      <c r="I82" s="419">
        <f>SUMIFS(SX!Z$2:Z$19,SX!$B$2:$B$19,'chia CN SX'!$C82)</f>
        <v>0</v>
      </c>
      <c r="J82" s="419">
        <f>SUMIFS(SX!AA$2:AA$19,SX!$B$2:$B$19,'chia CN SX'!$C82)</f>
        <v>0</v>
      </c>
      <c r="K82" s="419">
        <f>SUMIFS(SX!AB$2:AB$19,SX!$B$2:$B$19,'chia CN SX'!$C82)</f>
        <v>0</v>
      </c>
      <c r="L82" s="419">
        <f>SUMIFS(SX!AC$2:AC$19,SX!$B$2:$B$19,'chia CN SX'!$C82)</f>
        <v>0</v>
      </c>
      <c r="M82" s="419">
        <f>SUMIFS(SX!AD$2:AD$19,SX!$B$2:$B$19,'chia CN SX'!$C82)</f>
        <v>0</v>
      </c>
      <c r="N82" s="419">
        <f>SUMIFS(SX!AE$2:AE$19,SX!$B$2:$B$19,'chia CN SX'!$C82)</f>
        <v>0</v>
      </c>
      <c r="O82" s="419">
        <f>SUMIFS(SX!AF$2:AF$19,SX!$B$2:$B$19,'chia CN SX'!$C82)</f>
        <v>0</v>
      </c>
      <c r="P82" s="419">
        <f>SUMIFS(SX!AG$2:AG$19,SX!$B$2:$B$19,'chia CN SX'!$C82)</f>
        <v>0</v>
      </c>
      <c r="Q82" s="419">
        <f>SUMIFS(SX!AH$2:AH$19,SX!$B$2:$B$19,'chia CN SX'!$C82)</f>
        <v>0</v>
      </c>
      <c r="R82" s="419">
        <f>SUMIFS(SX!AI$2:AI$19,SX!$B$2:$B$19,'chia CN SX'!$C82)</f>
        <v>0</v>
      </c>
      <c r="S82" s="419">
        <f>SUMIFS(SX!AJ$2:AJ$19,SX!$B$2:$B$19,'chia CN SX'!$C82)</f>
        <v>0</v>
      </c>
    </row>
    <row r="83" spans="1:19">
      <c r="A83" s="421">
        <f t="shared" si="51"/>
        <v>81</v>
      </c>
      <c r="B83" s="331"/>
      <c r="C83" s="35"/>
      <c r="D83" s="419">
        <f>SUMIFS(SX!U$2:U$19,SX!$B$2:$B$19,'chia CN SX'!$C83)</f>
        <v>0</v>
      </c>
      <c r="E83" s="419">
        <f>SUMIFS(SX!V$2:V$19,SX!$B$2:$B$19,'chia CN SX'!$C83)</f>
        <v>0</v>
      </c>
      <c r="F83" s="419">
        <f>SUMIFS(SX!W$2:W$19,SX!$B$2:$B$19,'chia CN SX'!$C83)</f>
        <v>0</v>
      </c>
      <c r="G83" s="419">
        <f>SUMIFS(SX!X$2:X$19,SX!$B$2:$B$19,'chia CN SX'!$C83)</f>
        <v>0</v>
      </c>
      <c r="H83" s="419">
        <f>SUMIFS(SX!Y$2:Y$19,SX!$B$2:$B$19,'chia CN SX'!$C83)</f>
        <v>0</v>
      </c>
      <c r="I83" s="419">
        <f>SUMIFS(SX!Z$2:Z$19,SX!$B$2:$B$19,'chia CN SX'!$C83)</f>
        <v>0</v>
      </c>
      <c r="J83" s="419">
        <f>SUMIFS(SX!AA$2:AA$19,SX!$B$2:$B$19,'chia CN SX'!$C83)</f>
        <v>0</v>
      </c>
      <c r="K83" s="419">
        <f>SUMIFS(SX!AB$2:AB$19,SX!$B$2:$B$19,'chia CN SX'!$C83)</f>
        <v>0</v>
      </c>
      <c r="L83" s="419">
        <f>SUMIFS(SX!AC$2:AC$19,SX!$B$2:$B$19,'chia CN SX'!$C83)</f>
        <v>0</v>
      </c>
      <c r="M83" s="419">
        <f>SUMIFS(SX!AD$2:AD$19,SX!$B$2:$B$19,'chia CN SX'!$C83)</f>
        <v>0</v>
      </c>
      <c r="N83" s="419">
        <f>SUMIFS(SX!AE$2:AE$19,SX!$B$2:$B$19,'chia CN SX'!$C83)</f>
        <v>0</v>
      </c>
      <c r="O83" s="419">
        <f>SUMIFS(SX!AF$2:AF$19,SX!$B$2:$B$19,'chia CN SX'!$C83)</f>
        <v>0</v>
      </c>
      <c r="P83" s="419">
        <f>SUMIFS(SX!AG$2:AG$19,SX!$B$2:$B$19,'chia CN SX'!$C83)</f>
        <v>0</v>
      </c>
      <c r="Q83" s="419">
        <f>SUMIFS(SX!AH$2:AH$19,SX!$B$2:$B$19,'chia CN SX'!$C83)</f>
        <v>0</v>
      </c>
      <c r="R83" s="419">
        <f>SUMIFS(SX!AI$2:AI$19,SX!$B$2:$B$19,'chia CN SX'!$C83)</f>
        <v>0</v>
      </c>
      <c r="S83" s="419">
        <f>SUMIFS(SX!AJ$2:AJ$19,SX!$B$2:$B$19,'chia CN SX'!$C83)</f>
        <v>0</v>
      </c>
    </row>
    <row r="84" spans="1:19">
      <c r="A84" s="421">
        <f t="shared" si="51"/>
        <v>82</v>
      </c>
      <c r="B84" s="331"/>
      <c r="C84" s="35"/>
      <c r="D84" s="419">
        <f>SUMIFS(SX!U$2:U$19,SX!$B$2:$B$19,'chia CN SX'!$C84)</f>
        <v>0</v>
      </c>
      <c r="E84" s="419">
        <f>SUMIFS(SX!V$2:V$19,SX!$B$2:$B$19,'chia CN SX'!$C84)</f>
        <v>0</v>
      </c>
      <c r="F84" s="419">
        <f>SUMIFS(SX!W$2:W$19,SX!$B$2:$B$19,'chia CN SX'!$C84)</f>
        <v>0</v>
      </c>
      <c r="G84" s="419">
        <f>SUMIFS(SX!X$2:X$19,SX!$B$2:$B$19,'chia CN SX'!$C84)</f>
        <v>0</v>
      </c>
      <c r="H84" s="419">
        <f>SUMIFS(SX!Y$2:Y$19,SX!$B$2:$B$19,'chia CN SX'!$C84)</f>
        <v>0</v>
      </c>
      <c r="I84" s="419">
        <f>SUMIFS(SX!Z$2:Z$19,SX!$B$2:$B$19,'chia CN SX'!$C84)</f>
        <v>0</v>
      </c>
      <c r="J84" s="419">
        <f>SUMIFS(SX!AA$2:AA$19,SX!$B$2:$B$19,'chia CN SX'!$C84)</f>
        <v>0</v>
      </c>
      <c r="K84" s="419">
        <f>SUMIFS(SX!AB$2:AB$19,SX!$B$2:$B$19,'chia CN SX'!$C84)</f>
        <v>0</v>
      </c>
      <c r="L84" s="419">
        <f>SUMIFS(SX!AC$2:AC$19,SX!$B$2:$B$19,'chia CN SX'!$C84)</f>
        <v>0</v>
      </c>
      <c r="M84" s="419">
        <f>SUMIFS(SX!AD$2:AD$19,SX!$B$2:$B$19,'chia CN SX'!$C84)</f>
        <v>0</v>
      </c>
      <c r="N84" s="419">
        <f>SUMIFS(SX!AE$2:AE$19,SX!$B$2:$B$19,'chia CN SX'!$C84)</f>
        <v>0</v>
      </c>
      <c r="O84" s="419">
        <f>SUMIFS(SX!AF$2:AF$19,SX!$B$2:$B$19,'chia CN SX'!$C84)</f>
        <v>0</v>
      </c>
      <c r="P84" s="419">
        <f>SUMIFS(SX!AG$2:AG$19,SX!$B$2:$B$19,'chia CN SX'!$C84)</f>
        <v>0</v>
      </c>
      <c r="Q84" s="419">
        <f>SUMIFS(SX!AH$2:AH$19,SX!$B$2:$B$19,'chia CN SX'!$C84)</f>
        <v>0</v>
      </c>
      <c r="R84" s="419">
        <f>SUMIFS(SX!AI$2:AI$19,SX!$B$2:$B$19,'chia CN SX'!$C84)</f>
        <v>0</v>
      </c>
      <c r="S84" s="419">
        <f>SUMIFS(SX!AJ$2:AJ$19,SX!$B$2:$B$19,'chia CN SX'!$C84)</f>
        <v>0</v>
      </c>
    </row>
    <row r="85" spans="1:19">
      <c r="A85" s="421">
        <f t="shared" si="51"/>
        <v>83</v>
      </c>
      <c r="B85" s="331"/>
      <c r="C85" s="35"/>
      <c r="D85" s="419">
        <f>SUMIFS(SX!U$2:U$19,SX!$B$2:$B$19,'chia CN SX'!$C85)</f>
        <v>0</v>
      </c>
      <c r="E85" s="419">
        <f>SUMIFS(SX!V$2:V$19,SX!$B$2:$B$19,'chia CN SX'!$C85)</f>
        <v>0</v>
      </c>
      <c r="F85" s="419">
        <f>SUMIFS(SX!W$2:W$19,SX!$B$2:$B$19,'chia CN SX'!$C85)</f>
        <v>0</v>
      </c>
      <c r="G85" s="419">
        <f>SUMIFS(SX!X$2:X$19,SX!$B$2:$B$19,'chia CN SX'!$C85)</f>
        <v>0</v>
      </c>
      <c r="H85" s="419">
        <f>SUMIFS(SX!Y$2:Y$19,SX!$B$2:$B$19,'chia CN SX'!$C85)</f>
        <v>0</v>
      </c>
      <c r="I85" s="419">
        <f>SUMIFS(SX!Z$2:Z$19,SX!$B$2:$B$19,'chia CN SX'!$C85)</f>
        <v>0</v>
      </c>
      <c r="J85" s="419">
        <f>SUMIFS(SX!AA$2:AA$19,SX!$B$2:$B$19,'chia CN SX'!$C85)</f>
        <v>0</v>
      </c>
      <c r="K85" s="419">
        <f>SUMIFS(SX!AB$2:AB$19,SX!$B$2:$B$19,'chia CN SX'!$C85)</f>
        <v>0</v>
      </c>
      <c r="L85" s="419">
        <f>SUMIFS(SX!AC$2:AC$19,SX!$B$2:$B$19,'chia CN SX'!$C85)</f>
        <v>0</v>
      </c>
      <c r="M85" s="419">
        <f>SUMIFS(SX!AD$2:AD$19,SX!$B$2:$B$19,'chia CN SX'!$C85)</f>
        <v>0</v>
      </c>
      <c r="N85" s="419">
        <f>SUMIFS(SX!AE$2:AE$19,SX!$B$2:$B$19,'chia CN SX'!$C85)</f>
        <v>0</v>
      </c>
      <c r="O85" s="419">
        <f>SUMIFS(SX!AF$2:AF$19,SX!$B$2:$B$19,'chia CN SX'!$C85)</f>
        <v>0</v>
      </c>
      <c r="P85" s="419">
        <f>SUMIFS(SX!AG$2:AG$19,SX!$B$2:$B$19,'chia CN SX'!$C85)</f>
        <v>0</v>
      </c>
      <c r="Q85" s="419">
        <f>SUMIFS(SX!AH$2:AH$19,SX!$B$2:$B$19,'chia CN SX'!$C85)</f>
        <v>0</v>
      </c>
      <c r="R85" s="419">
        <f>SUMIFS(SX!AI$2:AI$19,SX!$B$2:$B$19,'chia CN SX'!$C85)</f>
        <v>0</v>
      </c>
      <c r="S85" s="419">
        <f>SUMIFS(SX!AJ$2:AJ$19,SX!$B$2:$B$19,'chia CN SX'!$C85)</f>
        <v>0</v>
      </c>
    </row>
    <row r="86" spans="1:19">
      <c r="A86" s="421">
        <f t="shared" si="51"/>
        <v>84</v>
      </c>
      <c r="B86" s="331"/>
      <c r="C86" s="35"/>
      <c r="D86" s="419">
        <f>SUMIFS(SX!U$2:U$19,SX!$B$2:$B$19,'chia CN SX'!$C86)</f>
        <v>0</v>
      </c>
      <c r="E86" s="419">
        <f>SUMIFS(SX!V$2:V$19,SX!$B$2:$B$19,'chia CN SX'!$C86)</f>
        <v>0</v>
      </c>
      <c r="F86" s="419">
        <f>SUMIFS(SX!W$2:W$19,SX!$B$2:$B$19,'chia CN SX'!$C86)</f>
        <v>0</v>
      </c>
      <c r="G86" s="419">
        <f>SUMIFS(SX!X$2:X$19,SX!$B$2:$B$19,'chia CN SX'!$C86)</f>
        <v>0</v>
      </c>
      <c r="H86" s="419">
        <f>SUMIFS(SX!Y$2:Y$19,SX!$B$2:$B$19,'chia CN SX'!$C86)</f>
        <v>0</v>
      </c>
      <c r="I86" s="419">
        <f>SUMIFS(SX!Z$2:Z$19,SX!$B$2:$B$19,'chia CN SX'!$C86)</f>
        <v>0</v>
      </c>
      <c r="J86" s="419">
        <f>SUMIFS(SX!AA$2:AA$19,SX!$B$2:$B$19,'chia CN SX'!$C86)</f>
        <v>0</v>
      </c>
      <c r="K86" s="419">
        <f>SUMIFS(SX!AB$2:AB$19,SX!$B$2:$B$19,'chia CN SX'!$C86)</f>
        <v>0</v>
      </c>
      <c r="L86" s="419">
        <f>SUMIFS(SX!AC$2:AC$19,SX!$B$2:$B$19,'chia CN SX'!$C86)</f>
        <v>0</v>
      </c>
      <c r="M86" s="419">
        <f>SUMIFS(SX!AD$2:AD$19,SX!$B$2:$B$19,'chia CN SX'!$C86)</f>
        <v>0</v>
      </c>
      <c r="N86" s="419">
        <f>SUMIFS(SX!AE$2:AE$19,SX!$B$2:$B$19,'chia CN SX'!$C86)</f>
        <v>0</v>
      </c>
      <c r="O86" s="419">
        <f>SUMIFS(SX!AF$2:AF$19,SX!$B$2:$B$19,'chia CN SX'!$C86)</f>
        <v>0</v>
      </c>
      <c r="P86" s="419">
        <f>SUMIFS(SX!AG$2:AG$19,SX!$B$2:$B$19,'chia CN SX'!$C86)</f>
        <v>0</v>
      </c>
      <c r="Q86" s="419">
        <f>SUMIFS(SX!AH$2:AH$19,SX!$B$2:$B$19,'chia CN SX'!$C86)</f>
        <v>0</v>
      </c>
      <c r="R86" s="419">
        <f>SUMIFS(SX!AI$2:AI$19,SX!$B$2:$B$19,'chia CN SX'!$C86)</f>
        <v>0</v>
      </c>
      <c r="S86" s="419">
        <f>SUMIFS(SX!AJ$2:AJ$19,SX!$B$2:$B$19,'chia CN SX'!$C86)</f>
        <v>0</v>
      </c>
    </row>
    <row r="87" spans="1:19">
      <c r="A87" s="421">
        <f t="shared" si="51"/>
        <v>85</v>
      </c>
      <c r="B87" s="331"/>
      <c r="C87" s="35"/>
      <c r="D87" s="419">
        <f>SUMIFS(SX!U$2:U$19,SX!$B$2:$B$19,'chia CN SX'!$C87)</f>
        <v>0</v>
      </c>
      <c r="E87" s="419">
        <f>SUMIFS(SX!V$2:V$19,SX!$B$2:$B$19,'chia CN SX'!$C87)</f>
        <v>0</v>
      </c>
      <c r="F87" s="419">
        <f>SUMIFS(SX!W$2:W$19,SX!$B$2:$B$19,'chia CN SX'!$C87)</f>
        <v>0</v>
      </c>
      <c r="G87" s="419">
        <f>SUMIFS(SX!X$2:X$19,SX!$B$2:$B$19,'chia CN SX'!$C87)</f>
        <v>0</v>
      </c>
      <c r="H87" s="419">
        <f>SUMIFS(SX!Y$2:Y$19,SX!$B$2:$B$19,'chia CN SX'!$C87)</f>
        <v>0</v>
      </c>
      <c r="I87" s="419">
        <f>SUMIFS(SX!Z$2:Z$19,SX!$B$2:$B$19,'chia CN SX'!$C87)</f>
        <v>0</v>
      </c>
      <c r="J87" s="419">
        <f>SUMIFS(SX!AA$2:AA$19,SX!$B$2:$B$19,'chia CN SX'!$C87)</f>
        <v>0</v>
      </c>
      <c r="K87" s="419">
        <f>SUMIFS(SX!AB$2:AB$19,SX!$B$2:$B$19,'chia CN SX'!$C87)</f>
        <v>0</v>
      </c>
      <c r="L87" s="419">
        <f>SUMIFS(SX!AC$2:AC$19,SX!$B$2:$B$19,'chia CN SX'!$C87)</f>
        <v>0</v>
      </c>
      <c r="M87" s="419">
        <f>SUMIFS(SX!AD$2:AD$19,SX!$B$2:$B$19,'chia CN SX'!$C87)</f>
        <v>0</v>
      </c>
      <c r="N87" s="419">
        <f>SUMIFS(SX!AE$2:AE$19,SX!$B$2:$B$19,'chia CN SX'!$C87)</f>
        <v>0</v>
      </c>
      <c r="O87" s="419">
        <f>SUMIFS(SX!AF$2:AF$19,SX!$B$2:$B$19,'chia CN SX'!$C87)</f>
        <v>0</v>
      </c>
      <c r="P87" s="419">
        <f>SUMIFS(SX!AG$2:AG$19,SX!$B$2:$B$19,'chia CN SX'!$C87)</f>
        <v>0</v>
      </c>
      <c r="Q87" s="419">
        <f>SUMIFS(SX!AH$2:AH$19,SX!$B$2:$B$19,'chia CN SX'!$C87)</f>
        <v>0</v>
      </c>
      <c r="R87" s="419">
        <f>SUMIFS(SX!AI$2:AI$19,SX!$B$2:$B$19,'chia CN SX'!$C87)</f>
        <v>0</v>
      </c>
      <c r="S87" s="419">
        <f>SUMIFS(SX!AJ$2:AJ$19,SX!$B$2:$B$19,'chia CN SX'!$C87)</f>
        <v>0</v>
      </c>
    </row>
    <row r="88" spans="1:19">
      <c r="A88" s="421">
        <f t="shared" si="51"/>
        <v>86</v>
      </c>
      <c r="B88" s="331"/>
      <c r="C88" s="35"/>
      <c r="D88" s="419">
        <f>SUMIFS(SX!U$2:U$19,SX!$B$2:$B$19,'chia CN SX'!$C88)</f>
        <v>0</v>
      </c>
      <c r="E88" s="419">
        <f>SUMIFS(SX!V$2:V$19,SX!$B$2:$B$19,'chia CN SX'!$C88)</f>
        <v>0</v>
      </c>
      <c r="F88" s="419">
        <f>SUMIFS(SX!W$2:W$19,SX!$B$2:$B$19,'chia CN SX'!$C88)</f>
        <v>0</v>
      </c>
      <c r="G88" s="419">
        <f>SUMIFS(SX!X$2:X$19,SX!$B$2:$B$19,'chia CN SX'!$C88)</f>
        <v>0</v>
      </c>
      <c r="H88" s="419">
        <f>SUMIFS(SX!Y$2:Y$19,SX!$B$2:$B$19,'chia CN SX'!$C88)</f>
        <v>0</v>
      </c>
      <c r="I88" s="419">
        <f>SUMIFS(SX!Z$2:Z$19,SX!$B$2:$B$19,'chia CN SX'!$C88)</f>
        <v>0</v>
      </c>
      <c r="J88" s="419">
        <f>SUMIFS(SX!AA$2:AA$19,SX!$B$2:$B$19,'chia CN SX'!$C88)</f>
        <v>0</v>
      </c>
      <c r="K88" s="419">
        <f>SUMIFS(SX!AB$2:AB$19,SX!$B$2:$B$19,'chia CN SX'!$C88)</f>
        <v>0</v>
      </c>
      <c r="L88" s="419">
        <f>SUMIFS(SX!AC$2:AC$19,SX!$B$2:$B$19,'chia CN SX'!$C88)</f>
        <v>0</v>
      </c>
      <c r="M88" s="419">
        <f>SUMIFS(SX!AD$2:AD$19,SX!$B$2:$B$19,'chia CN SX'!$C88)</f>
        <v>0</v>
      </c>
      <c r="N88" s="419">
        <f>SUMIFS(SX!AE$2:AE$19,SX!$B$2:$B$19,'chia CN SX'!$C88)</f>
        <v>0</v>
      </c>
      <c r="O88" s="419">
        <f>SUMIFS(SX!AF$2:AF$19,SX!$B$2:$B$19,'chia CN SX'!$C88)</f>
        <v>0</v>
      </c>
      <c r="P88" s="419">
        <f>SUMIFS(SX!AG$2:AG$19,SX!$B$2:$B$19,'chia CN SX'!$C88)</f>
        <v>0</v>
      </c>
      <c r="Q88" s="419">
        <f>SUMIFS(SX!AH$2:AH$19,SX!$B$2:$B$19,'chia CN SX'!$C88)</f>
        <v>0</v>
      </c>
      <c r="R88" s="419">
        <f>SUMIFS(SX!AI$2:AI$19,SX!$B$2:$B$19,'chia CN SX'!$C88)</f>
        <v>0</v>
      </c>
      <c r="S88" s="419">
        <f>SUMIFS(SX!AJ$2:AJ$19,SX!$B$2:$B$19,'chia CN SX'!$C88)</f>
        <v>0</v>
      </c>
    </row>
    <row r="89" spans="1:19">
      <c r="A89" s="421">
        <f t="shared" si="51"/>
        <v>87</v>
      </c>
      <c r="B89" s="331"/>
      <c r="C89" s="35"/>
      <c r="D89" s="419">
        <f>SUMIFS(SX!U$2:U$19,SX!$B$2:$B$19,'chia CN SX'!$C89)</f>
        <v>0</v>
      </c>
      <c r="E89" s="419">
        <f>SUMIFS(SX!V$2:V$19,SX!$B$2:$B$19,'chia CN SX'!$C89)</f>
        <v>0</v>
      </c>
      <c r="F89" s="419">
        <f>SUMIFS(SX!W$2:W$19,SX!$B$2:$B$19,'chia CN SX'!$C89)</f>
        <v>0</v>
      </c>
      <c r="G89" s="419">
        <f>SUMIFS(SX!X$2:X$19,SX!$B$2:$B$19,'chia CN SX'!$C89)</f>
        <v>0</v>
      </c>
      <c r="H89" s="419">
        <f>SUMIFS(SX!Y$2:Y$19,SX!$B$2:$B$19,'chia CN SX'!$C89)</f>
        <v>0</v>
      </c>
      <c r="I89" s="419">
        <f>SUMIFS(SX!Z$2:Z$19,SX!$B$2:$B$19,'chia CN SX'!$C89)</f>
        <v>0</v>
      </c>
      <c r="J89" s="419">
        <f>SUMIFS(SX!AA$2:AA$19,SX!$B$2:$B$19,'chia CN SX'!$C89)</f>
        <v>0</v>
      </c>
      <c r="K89" s="419">
        <f>SUMIFS(SX!AB$2:AB$19,SX!$B$2:$B$19,'chia CN SX'!$C89)</f>
        <v>0</v>
      </c>
      <c r="L89" s="419">
        <f>SUMIFS(SX!AC$2:AC$19,SX!$B$2:$B$19,'chia CN SX'!$C89)</f>
        <v>0</v>
      </c>
      <c r="M89" s="419">
        <f>SUMIFS(SX!AD$2:AD$19,SX!$B$2:$B$19,'chia CN SX'!$C89)</f>
        <v>0</v>
      </c>
      <c r="N89" s="419">
        <f>SUMIFS(SX!AE$2:AE$19,SX!$B$2:$B$19,'chia CN SX'!$C89)</f>
        <v>0</v>
      </c>
      <c r="O89" s="419">
        <f>SUMIFS(SX!AF$2:AF$19,SX!$B$2:$B$19,'chia CN SX'!$C89)</f>
        <v>0</v>
      </c>
      <c r="P89" s="419">
        <f>SUMIFS(SX!AG$2:AG$19,SX!$B$2:$B$19,'chia CN SX'!$C89)</f>
        <v>0</v>
      </c>
      <c r="Q89" s="419">
        <f>SUMIFS(SX!AH$2:AH$19,SX!$B$2:$B$19,'chia CN SX'!$C89)</f>
        <v>0</v>
      </c>
      <c r="R89" s="419">
        <f>SUMIFS(SX!AI$2:AI$19,SX!$B$2:$B$19,'chia CN SX'!$C89)</f>
        <v>0</v>
      </c>
      <c r="S89" s="419">
        <f>SUMIFS(SX!AJ$2:AJ$19,SX!$B$2:$B$19,'chia CN SX'!$C89)</f>
        <v>0</v>
      </c>
    </row>
    <row r="90" spans="1:19">
      <c r="A90" s="421">
        <f t="shared" si="51"/>
        <v>88</v>
      </c>
      <c r="B90" s="331"/>
      <c r="C90" s="35"/>
      <c r="D90" s="419">
        <f>SUMIFS(SX!U$2:U$19,SX!$B$2:$B$19,'chia CN SX'!$C90)</f>
        <v>0</v>
      </c>
      <c r="E90" s="419">
        <f>SUMIFS(SX!V$2:V$19,SX!$B$2:$B$19,'chia CN SX'!$C90)</f>
        <v>0</v>
      </c>
      <c r="F90" s="419">
        <f>SUMIFS(SX!W$2:W$19,SX!$B$2:$B$19,'chia CN SX'!$C90)</f>
        <v>0</v>
      </c>
      <c r="G90" s="419">
        <f>SUMIFS(SX!X$2:X$19,SX!$B$2:$B$19,'chia CN SX'!$C90)</f>
        <v>0</v>
      </c>
      <c r="H90" s="419">
        <f>SUMIFS(SX!Y$2:Y$19,SX!$B$2:$B$19,'chia CN SX'!$C90)</f>
        <v>0</v>
      </c>
      <c r="I90" s="419">
        <f>SUMIFS(SX!Z$2:Z$19,SX!$B$2:$B$19,'chia CN SX'!$C90)</f>
        <v>0</v>
      </c>
      <c r="J90" s="419">
        <f>SUMIFS(SX!AA$2:AA$19,SX!$B$2:$B$19,'chia CN SX'!$C90)</f>
        <v>0</v>
      </c>
      <c r="K90" s="419">
        <f>SUMIFS(SX!AB$2:AB$19,SX!$B$2:$B$19,'chia CN SX'!$C90)</f>
        <v>0</v>
      </c>
      <c r="L90" s="419">
        <f>SUMIFS(SX!AC$2:AC$19,SX!$B$2:$B$19,'chia CN SX'!$C90)</f>
        <v>0</v>
      </c>
      <c r="M90" s="419">
        <f>SUMIFS(SX!AD$2:AD$19,SX!$B$2:$B$19,'chia CN SX'!$C90)</f>
        <v>0</v>
      </c>
      <c r="N90" s="419">
        <f>SUMIFS(SX!AE$2:AE$19,SX!$B$2:$B$19,'chia CN SX'!$C90)</f>
        <v>0</v>
      </c>
      <c r="O90" s="419">
        <f>SUMIFS(SX!AF$2:AF$19,SX!$B$2:$B$19,'chia CN SX'!$C90)</f>
        <v>0</v>
      </c>
      <c r="P90" s="419">
        <f>SUMIFS(SX!AG$2:AG$19,SX!$B$2:$B$19,'chia CN SX'!$C90)</f>
        <v>0</v>
      </c>
      <c r="Q90" s="419">
        <f>SUMIFS(SX!AH$2:AH$19,SX!$B$2:$B$19,'chia CN SX'!$C90)</f>
        <v>0</v>
      </c>
      <c r="R90" s="419">
        <f>SUMIFS(SX!AI$2:AI$19,SX!$B$2:$B$19,'chia CN SX'!$C90)</f>
        <v>0</v>
      </c>
      <c r="S90" s="419">
        <f>SUMIFS(SX!AJ$2:AJ$19,SX!$B$2:$B$19,'chia CN SX'!$C90)</f>
        <v>0</v>
      </c>
    </row>
    <row r="91" spans="1:19">
      <c r="A91" s="421">
        <f t="shared" si="51"/>
        <v>89</v>
      </c>
      <c r="B91" s="331"/>
      <c r="C91" s="35"/>
      <c r="D91" s="419">
        <f>SUMIFS(SX!U$2:U$19,SX!$B$2:$B$19,'chia CN SX'!$C91)</f>
        <v>0</v>
      </c>
      <c r="E91" s="419">
        <f>SUMIFS(SX!V$2:V$19,SX!$B$2:$B$19,'chia CN SX'!$C91)</f>
        <v>0</v>
      </c>
      <c r="F91" s="419">
        <f>SUMIFS(SX!W$2:W$19,SX!$B$2:$B$19,'chia CN SX'!$C91)</f>
        <v>0</v>
      </c>
      <c r="G91" s="419">
        <f>SUMIFS(SX!X$2:X$19,SX!$B$2:$B$19,'chia CN SX'!$C91)</f>
        <v>0</v>
      </c>
      <c r="H91" s="419">
        <f>SUMIFS(SX!Y$2:Y$19,SX!$B$2:$B$19,'chia CN SX'!$C91)</f>
        <v>0</v>
      </c>
      <c r="I91" s="419">
        <f>SUMIFS(SX!Z$2:Z$19,SX!$B$2:$B$19,'chia CN SX'!$C91)</f>
        <v>0</v>
      </c>
      <c r="J91" s="419">
        <f>SUMIFS(SX!AA$2:AA$19,SX!$B$2:$B$19,'chia CN SX'!$C91)</f>
        <v>0</v>
      </c>
      <c r="K91" s="419">
        <f>SUMIFS(SX!AB$2:AB$19,SX!$B$2:$B$19,'chia CN SX'!$C91)</f>
        <v>0</v>
      </c>
      <c r="L91" s="419">
        <f>SUMIFS(SX!AC$2:AC$19,SX!$B$2:$B$19,'chia CN SX'!$C91)</f>
        <v>0</v>
      </c>
      <c r="M91" s="419">
        <f>SUMIFS(SX!AD$2:AD$19,SX!$B$2:$B$19,'chia CN SX'!$C91)</f>
        <v>0</v>
      </c>
      <c r="N91" s="419">
        <f>SUMIFS(SX!AE$2:AE$19,SX!$B$2:$B$19,'chia CN SX'!$C91)</f>
        <v>0</v>
      </c>
      <c r="O91" s="419">
        <f>SUMIFS(SX!AF$2:AF$19,SX!$B$2:$B$19,'chia CN SX'!$C91)</f>
        <v>0</v>
      </c>
      <c r="P91" s="419">
        <f>SUMIFS(SX!AG$2:AG$19,SX!$B$2:$B$19,'chia CN SX'!$C91)</f>
        <v>0</v>
      </c>
      <c r="Q91" s="419">
        <f>SUMIFS(SX!AH$2:AH$19,SX!$B$2:$B$19,'chia CN SX'!$C91)</f>
        <v>0</v>
      </c>
      <c r="R91" s="419">
        <f>SUMIFS(SX!AI$2:AI$19,SX!$B$2:$B$19,'chia CN SX'!$C91)</f>
        <v>0</v>
      </c>
      <c r="S91" s="419">
        <f>SUMIFS(SX!AJ$2:AJ$19,SX!$B$2:$B$19,'chia CN SX'!$C91)</f>
        <v>0</v>
      </c>
    </row>
    <row r="92" spans="1:19">
      <c r="A92" s="421">
        <f t="shared" si="51"/>
        <v>90</v>
      </c>
      <c r="B92" s="331"/>
      <c r="C92" s="35"/>
      <c r="D92" s="419">
        <f>SUMIFS(SX!U$2:U$19,SX!$B$2:$B$19,'chia CN SX'!$C92)</f>
        <v>0</v>
      </c>
      <c r="E92" s="419">
        <f>SUMIFS(SX!V$2:V$19,SX!$B$2:$B$19,'chia CN SX'!$C92)</f>
        <v>0</v>
      </c>
      <c r="F92" s="419">
        <f>SUMIFS(SX!W$2:W$19,SX!$B$2:$B$19,'chia CN SX'!$C92)</f>
        <v>0</v>
      </c>
      <c r="G92" s="419">
        <f>SUMIFS(SX!X$2:X$19,SX!$B$2:$B$19,'chia CN SX'!$C92)</f>
        <v>0</v>
      </c>
      <c r="H92" s="419">
        <f>SUMIFS(SX!Y$2:Y$19,SX!$B$2:$B$19,'chia CN SX'!$C92)</f>
        <v>0</v>
      </c>
      <c r="I92" s="419">
        <f>SUMIFS(SX!Z$2:Z$19,SX!$B$2:$B$19,'chia CN SX'!$C92)</f>
        <v>0</v>
      </c>
      <c r="J92" s="419">
        <f>SUMIFS(SX!AA$2:AA$19,SX!$B$2:$B$19,'chia CN SX'!$C92)</f>
        <v>0</v>
      </c>
      <c r="K92" s="419">
        <f>SUMIFS(SX!AB$2:AB$19,SX!$B$2:$B$19,'chia CN SX'!$C92)</f>
        <v>0</v>
      </c>
      <c r="L92" s="419">
        <f>SUMIFS(SX!AC$2:AC$19,SX!$B$2:$B$19,'chia CN SX'!$C92)</f>
        <v>0</v>
      </c>
      <c r="M92" s="419">
        <f>SUMIFS(SX!AD$2:AD$19,SX!$B$2:$B$19,'chia CN SX'!$C92)</f>
        <v>0</v>
      </c>
      <c r="N92" s="419">
        <f>SUMIFS(SX!AE$2:AE$19,SX!$B$2:$B$19,'chia CN SX'!$C92)</f>
        <v>0</v>
      </c>
      <c r="O92" s="419">
        <f>SUMIFS(SX!AF$2:AF$19,SX!$B$2:$B$19,'chia CN SX'!$C92)</f>
        <v>0</v>
      </c>
      <c r="P92" s="419">
        <f>SUMIFS(SX!AG$2:AG$19,SX!$B$2:$B$19,'chia CN SX'!$C92)</f>
        <v>0</v>
      </c>
      <c r="Q92" s="419">
        <f>SUMIFS(SX!AH$2:AH$19,SX!$B$2:$B$19,'chia CN SX'!$C92)</f>
        <v>0</v>
      </c>
      <c r="R92" s="419">
        <f>SUMIFS(SX!AI$2:AI$19,SX!$B$2:$B$19,'chia CN SX'!$C92)</f>
        <v>0</v>
      </c>
      <c r="S92" s="419">
        <f>SUMIFS(SX!AJ$2:AJ$19,SX!$B$2:$B$19,'chia CN SX'!$C92)</f>
        <v>0</v>
      </c>
    </row>
    <row r="93" spans="1:19">
      <c r="A93" s="421">
        <f t="shared" si="51"/>
        <v>91</v>
      </c>
      <c r="B93" s="331"/>
      <c r="C93" s="35"/>
      <c r="D93" s="419">
        <f>SUMIFS(SX!U$2:U$19,SX!$B$2:$B$19,'chia CN SX'!$C93)</f>
        <v>0</v>
      </c>
      <c r="E93" s="419">
        <f>SUMIFS(SX!V$2:V$19,SX!$B$2:$B$19,'chia CN SX'!$C93)</f>
        <v>0</v>
      </c>
      <c r="F93" s="419">
        <f>SUMIFS(SX!W$2:W$19,SX!$B$2:$B$19,'chia CN SX'!$C93)</f>
        <v>0</v>
      </c>
      <c r="G93" s="419">
        <f>SUMIFS(SX!X$2:X$19,SX!$B$2:$B$19,'chia CN SX'!$C93)</f>
        <v>0</v>
      </c>
      <c r="H93" s="419">
        <f>SUMIFS(SX!Y$2:Y$19,SX!$B$2:$B$19,'chia CN SX'!$C93)</f>
        <v>0</v>
      </c>
      <c r="I93" s="419">
        <f>SUMIFS(SX!Z$2:Z$19,SX!$B$2:$B$19,'chia CN SX'!$C93)</f>
        <v>0</v>
      </c>
      <c r="J93" s="419">
        <f>SUMIFS(SX!AA$2:AA$19,SX!$B$2:$B$19,'chia CN SX'!$C93)</f>
        <v>0</v>
      </c>
      <c r="K93" s="419">
        <f>SUMIFS(SX!AB$2:AB$19,SX!$B$2:$B$19,'chia CN SX'!$C93)</f>
        <v>0</v>
      </c>
      <c r="L93" s="419">
        <f>SUMIFS(SX!AC$2:AC$19,SX!$B$2:$B$19,'chia CN SX'!$C93)</f>
        <v>0</v>
      </c>
      <c r="M93" s="419">
        <f>SUMIFS(SX!AD$2:AD$19,SX!$B$2:$B$19,'chia CN SX'!$C93)</f>
        <v>0</v>
      </c>
      <c r="N93" s="419">
        <f>SUMIFS(SX!AE$2:AE$19,SX!$B$2:$B$19,'chia CN SX'!$C93)</f>
        <v>0</v>
      </c>
      <c r="O93" s="419">
        <f>SUMIFS(SX!AF$2:AF$19,SX!$B$2:$B$19,'chia CN SX'!$C93)</f>
        <v>0</v>
      </c>
      <c r="P93" s="419">
        <f>SUMIFS(SX!AG$2:AG$19,SX!$B$2:$B$19,'chia CN SX'!$C93)</f>
        <v>0</v>
      </c>
      <c r="Q93" s="419">
        <f>SUMIFS(SX!AH$2:AH$19,SX!$B$2:$B$19,'chia CN SX'!$C93)</f>
        <v>0</v>
      </c>
      <c r="R93" s="419">
        <f>SUMIFS(SX!AI$2:AI$19,SX!$B$2:$B$19,'chia CN SX'!$C93)</f>
        <v>0</v>
      </c>
      <c r="S93" s="419">
        <f>SUMIFS(SX!AJ$2:AJ$19,SX!$B$2:$B$19,'chia CN SX'!$C93)</f>
        <v>0</v>
      </c>
    </row>
    <row r="94" spans="1:19">
      <c r="A94" s="421">
        <f t="shared" si="51"/>
        <v>92</v>
      </c>
      <c r="B94" s="331"/>
      <c r="C94" s="35"/>
      <c r="D94" s="419">
        <f>SUMIFS(SX!U$2:U$19,SX!$B$2:$B$19,'chia CN SX'!$C94)</f>
        <v>0</v>
      </c>
      <c r="E94" s="419">
        <f>SUMIFS(SX!V$2:V$19,SX!$B$2:$B$19,'chia CN SX'!$C94)</f>
        <v>0</v>
      </c>
      <c r="F94" s="419">
        <f>SUMIFS(SX!W$2:W$19,SX!$B$2:$B$19,'chia CN SX'!$C94)</f>
        <v>0</v>
      </c>
      <c r="G94" s="419">
        <f>SUMIFS(SX!X$2:X$19,SX!$B$2:$B$19,'chia CN SX'!$C94)</f>
        <v>0</v>
      </c>
      <c r="H94" s="419">
        <f>SUMIFS(SX!Y$2:Y$19,SX!$B$2:$B$19,'chia CN SX'!$C94)</f>
        <v>0</v>
      </c>
      <c r="I94" s="419">
        <f>SUMIFS(SX!Z$2:Z$19,SX!$B$2:$B$19,'chia CN SX'!$C94)</f>
        <v>0</v>
      </c>
      <c r="J94" s="419">
        <f>SUMIFS(SX!AA$2:AA$19,SX!$B$2:$B$19,'chia CN SX'!$C94)</f>
        <v>0</v>
      </c>
      <c r="K94" s="419">
        <f>SUMIFS(SX!AB$2:AB$19,SX!$B$2:$B$19,'chia CN SX'!$C94)</f>
        <v>0</v>
      </c>
      <c r="L94" s="419">
        <f>SUMIFS(SX!AC$2:AC$19,SX!$B$2:$B$19,'chia CN SX'!$C94)</f>
        <v>0</v>
      </c>
      <c r="M94" s="419">
        <f>SUMIFS(SX!AD$2:AD$19,SX!$B$2:$B$19,'chia CN SX'!$C94)</f>
        <v>0</v>
      </c>
      <c r="N94" s="419">
        <f>SUMIFS(SX!AE$2:AE$19,SX!$B$2:$B$19,'chia CN SX'!$C94)</f>
        <v>0</v>
      </c>
      <c r="O94" s="419">
        <f>SUMIFS(SX!AF$2:AF$19,SX!$B$2:$B$19,'chia CN SX'!$C94)</f>
        <v>0</v>
      </c>
      <c r="P94" s="419">
        <f>SUMIFS(SX!AG$2:AG$19,SX!$B$2:$B$19,'chia CN SX'!$C94)</f>
        <v>0</v>
      </c>
      <c r="Q94" s="419">
        <f>SUMIFS(SX!AH$2:AH$19,SX!$B$2:$B$19,'chia CN SX'!$C94)</f>
        <v>0</v>
      </c>
      <c r="R94" s="419">
        <f>SUMIFS(SX!AI$2:AI$19,SX!$B$2:$B$19,'chia CN SX'!$C94)</f>
        <v>0</v>
      </c>
      <c r="S94" s="419">
        <f>SUMIFS(SX!AJ$2:AJ$19,SX!$B$2:$B$19,'chia CN SX'!$C94)</f>
        <v>0</v>
      </c>
    </row>
    <row r="95" spans="1:19">
      <c r="A95" s="421">
        <f t="shared" si="51"/>
        <v>93</v>
      </c>
      <c r="B95" s="331"/>
      <c r="C95" s="35"/>
      <c r="D95" s="419">
        <f>SUMIFS(SX!U$2:U$19,SX!$B$2:$B$19,'chia CN SX'!$C95)</f>
        <v>0</v>
      </c>
      <c r="E95" s="419">
        <f>SUMIFS(SX!V$2:V$19,SX!$B$2:$B$19,'chia CN SX'!$C95)</f>
        <v>0</v>
      </c>
      <c r="F95" s="419">
        <f>SUMIFS(SX!W$2:W$19,SX!$B$2:$B$19,'chia CN SX'!$C95)</f>
        <v>0</v>
      </c>
      <c r="G95" s="419">
        <f>SUMIFS(SX!X$2:X$19,SX!$B$2:$B$19,'chia CN SX'!$C95)</f>
        <v>0</v>
      </c>
      <c r="H95" s="419">
        <f>SUMIFS(SX!Y$2:Y$19,SX!$B$2:$B$19,'chia CN SX'!$C95)</f>
        <v>0</v>
      </c>
      <c r="I95" s="419">
        <f>SUMIFS(SX!Z$2:Z$19,SX!$B$2:$B$19,'chia CN SX'!$C95)</f>
        <v>0</v>
      </c>
      <c r="J95" s="419">
        <f>SUMIFS(SX!AA$2:AA$19,SX!$B$2:$B$19,'chia CN SX'!$C95)</f>
        <v>0</v>
      </c>
      <c r="K95" s="419">
        <f>SUMIFS(SX!AB$2:AB$19,SX!$B$2:$B$19,'chia CN SX'!$C95)</f>
        <v>0</v>
      </c>
      <c r="L95" s="419">
        <f>SUMIFS(SX!AC$2:AC$19,SX!$B$2:$B$19,'chia CN SX'!$C95)</f>
        <v>0</v>
      </c>
      <c r="M95" s="419">
        <f>SUMIFS(SX!AD$2:AD$19,SX!$B$2:$B$19,'chia CN SX'!$C95)</f>
        <v>0</v>
      </c>
      <c r="N95" s="419">
        <f>SUMIFS(SX!AE$2:AE$19,SX!$B$2:$B$19,'chia CN SX'!$C95)</f>
        <v>0</v>
      </c>
      <c r="O95" s="419">
        <f>SUMIFS(SX!AF$2:AF$19,SX!$B$2:$B$19,'chia CN SX'!$C95)</f>
        <v>0</v>
      </c>
      <c r="P95" s="419">
        <f>SUMIFS(SX!AG$2:AG$19,SX!$B$2:$B$19,'chia CN SX'!$C95)</f>
        <v>0</v>
      </c>
      <c r="Q95" s="419">
        <f>SUMIFS(SX!AH$2:AH$19,SX!$B$2:$B$19,'chia CN SX'!$C95)</f>
        <v>0</v>
      </c>
      <c r="R95" s="419">
        <f>SUMIFS(SX!AI$2:AI$19,SX!$B$2:$B$19,'chia CN SX'!$C95)</f>
        <v>0</v>
      </c>
      <c r="S95" s="419">
        <f>SUMIFS(SX!AJ$2:AJ$19,SX!$B$2:$B$19,'chia CN SX'!$C95)</f>
        <v>0</v>
      </c>
    </row>
    <row r="96" spans="1:19">
      <c r="A96" s="421">
        <f t="shared" si="51"/>
        <v>94</v>
      </c>
      <c r="B96" s="331"/>
      <c r="C96" s="35"/>
      <c r="D96" s="419">
        <f>SUMIFS(SX!U$2:U$19,SX!$B$2:$B$19,'chia CN SX'!$C96)</f>
        <v>0</v>
      </c>
      <c r="E96" s="419">
        <f>SUMIFS(SX!V$2:V$19,SX!$B$2:$B$19,'chia CN SX'!$C96)</f>
        <v>0</v>
      </c>
      <c r="F96" s="419">
        <f>SUMIFS(SX!W$2:W$19,SX!$B$2:$B$19,'chia CN SX'!$C96)</f>
        <v>0</v>
      </c>
      <c r="G96" s="419">
        <f>SUMIFS(SX!X$2:X$19,SX!$B$2:$B$19,'chia CN SX'!$C96)</f>
        <v>0</v>
      </c>
      <c r="H96" s="419">
        <f>SUMIFS(SX!Y$2:Y$19,SX!$B$2:$B$19,'chia CN SX'!$C96)</f>
        <v>0</v>
      </c>
      <c r="I96" s="419">
        <f>SUMIFS(SX!Z$2:Z$19,SX!$B$2:$B$19,'chia CN SX'!$C96)</f>
        <v>0</v>
      </c>
      <c r="J96" s="419">
        <f>SUMIFS(SX!AA$2:AA$19,SX!$B$2:$B$19,'chia CN SX'!$C96)</f>
        <v>0</v>
      </c>
      <c r="K96" s="419">
        <f>SUMIFS(SX!AB$2:AB$19,SX!$B$2:$B$19,'chia CN SX'!$C96)</f>
        <v>0</v>
      </c>
      <c r="L96" s="419">
        <f>SUMIFS(SX!AC$2:AC$19,SX!$B$2:$B$19,'chia CN SX'!$C96)</f>
        <v>0</v>
      </c>
      <c r="M96" s="419">
        <f>SUMIFS(SX!AD$2:AD$19,SX!$B$2:$B$19,'chia CN SX'!$C96)</f>
        <v>0</v>
      </c>
      <c r="N96" s="419">
        <f>SUMIFS(SX!AE$2:AE$19,SX!$B$2:$B$19,'chia CN SX'!$C96)</f>
        <v>0</v>
      </c>
      <c r="O96" s="419">
        <f>SUMIFS(SX!AF$2:AF$19,SX!$B$2:$B$19,'chia CN SX'!$C96)</f>
        <v>0</v>
      </c>
      <c r="P96" s="419">
        <f>SUMIFS(SX!AG$2:AG$19,SX!$B$2:$B$19,'chia CN SX'!$C96)</f>
        <v>0</v>
      </c>
      <c r="Q96" s="419">
        <f>SUMIFS(SX!AH$2:AH$19,SX!$B$2:$B$19,'chia CN SX'!$C96)</f>
        <v>0</v>
      </c>
      <c r="R96" s="419">
        <f>SUMIFS(SX!AI$2:AI$19,SX!$B$2:$B$19,'chia CN SX'!$C96)</f>
        <v>0</v>
      </c>
      <c r="S96" s="419">
        <f>SUMIFS(SX!AJ$2:AJ$19,SX!$B$2:$B$19,'chia CN SX'!$C96)</f>
        <v>0</v>
      </c>
    </row>
    <row r="97" spans="1:19">
      <c r="A97" s="421">
        <f t="shared" si="51"/>
        <v>95</v>
      </c>
      <c r="B97" s="331"/>
      <c r="C97" s="35"/>
      <c r="D97" s="419">
        <f>SUMIFS(SX!U$2:U$19,SX!$B$2:$B$19,'chia CN SX'!$C97)</f>
        <v>0</v>
      </c>
      <c r="E97" s="419">
        <f>SUMIFS(SX!V$2:V$19,SX!$B$2:$B$19,'chia CN SX'!$C97)</f>
        <v>0</v>
      </c>
      <c r="F97" s="419">
        <f>SUMIFS(SX!W$2:W$19,SX!$B$2:$B$19,'chia CN SX'!$C97)</f>
        <v>0</v>
      </c>
      <c r="G97" s="419">
        <f>SUMIFS(SX!X$2:X$19,SX!$B$2:$B$19,'chia CN SX'!$C97)</f>
        <v>0</v>
      </c>
      <c r="H97" s="419">
        <f>SUMIFS(SX!Y$2:Y$19,SX!$B$2:$B$19,'chia CN SX'!$C97)</f>
        <v>0</v>
      </c>
      <c r="I97" s="419">
        <f>SUMIFS(SX!Z$2:Z$19,SX!$B$2:$B$19,'chia CN SX'!$C97)</f>
        <v>0</v>
      </c>
      <c r="J97" s="419">
        <f>SUMIFS(SX!AA$2:AA$19,SX!$B$2:$B$19,'chia CN SX'!$C97)</f>
        <v>0</v>
      </c>
      <c r="K97" s="419">
        <f>SUMIFS(SX!AB$2:AB$19,SX!$B$2:$B$19,'chia CN SX'!$C97)</f>
        <v>0</v>
      </c>
      <c r="L97" s="419">
        <f>SUMIFS(SX!AC$2:AC$19,SX!$B$2:$B$19,'chia CN SX'!$C97)</f>
        <v>0</v>
      </c>
      <c r="M97" s="419">
        <f>SUMIFS(SX!AD$2:AD$19,SX!$B$2:$B$19,'chia CN SX'!$C97)</f>
        <v>0</v>
      </c>
      <c r="N97" s="419">
        <f>SUMIFS(SX!AE$2:AE$19,SX!$B$2:$B$19,'chia CN SX'!$C97)</f>
        <v>0</v>
      </c>
      <c r="O97" s="419">
        <f>SUMIFS(SX!AF$2:AF$19,SX!$B$2:$B$19,'chia CN SX'!$C97)</f>
        <v>0</v>
      </c>
      <c r="P97" s="419">
        <f>SUMIFS(SX!AG$2:AG$19,SX!$B$2:$B$19,'chia CN SX'!$C97)</f>
        <v>0</v>
      </c>
      <c r="Q97" s="419">
        <f>SUMIFS(SX!AH$2:AH$19,SX!$B$2:$B$19,'chia CN SX'!$C97)</f>
        <v>0</v>
      </c>
      <c r="R97" s="419">
        <f>SUMIFS(SX!AI$2:AI$19,SX!$B$2:$B$19,'chia CN SX'!$C97)</f>
        <v>0</v>
      </c>
      <c r="S97" s="419">
        <f>SUMIFS(SX!AJ$2:AJ$19,SX!$B$2:$B$19,'chia CN SX'!$C97)</f>
        <v>0</v>
      </c>
    </row>
    <row r="98" spans="1:19">
      <c r="A98" s="421">
        <f t="shared" si="51"/>
        <v>96</v>
      </c>
      <c r="B98" s="331"/>
      <c r="C98" s="35"/>
      <c r="D98" s="419">
        <f>SUMIFS(SX!U$2:U$19,SX!$B$2:$B$19,'chia CN SX'!$C98)</f>
        <v>0</v>
      </c>
      <c r="E98" s="419">
        <f>SUMIFS(SX!V$2:V$19,SX!$B$2:$B$19,'chia CN SX'!$C98)</f>
        <v>0</v>
      </c>
      <c r="F98" s="419">
        <f>SUMIFS(SX!W$2:W$19,SX!$B$2:$B$19,'chia CN SX'!$C98)</f>
        <v>0</v>
      </c>
      <c r="G98" s="419">
        <f>SUMIFS(SX!X$2:X$19,SX!$B$2:$B$19,'chia CN SX'!$C98)</f>
        <v>0</v>
      </c>
      <c r="H98" s="419">
        <f>SUMIFS(SX!Y$2:Y$19,SX!$B$2:$B$19,'chia CN SX'!$C98)</f>
        <v>0</v>
      </c>
      <c r="I98" s="419">
        <f>SUMIFS(SX!Z$2:Z$19,SX!$B$2:$B$19,'chia CN SX'!$C98)</f>
        <v>0</v>
      </c>
      <c r="J98" s="419">
        <f>SUMIFS(SX!AA$2:AA$19,SX!$B$2:$B$19,'chia CN SX'!$C98)</f>
        <v>0</v>
      </c>
      <c r="K98" s="419">
        <f>SUMIFS(SX!AB$2:AB$19,SX!$B$2:$B$19,'chia CN SX'!$C98)</f>
        <v>0</v>
      </c>
      <c r="L98" s="419">
        <f>SUMIFS(SX!AC$2:AC$19,SX!$B$2:$B$19,'chia CN SX'!$C98)</f>
        <v>0</v>
      </c>
      <c r="M98" s="419">
        <f>SUMIFS(SX!AD$2:AD$19,SX!$B$2:$B$19,'chia CN SX'!$C98)</f>
        <v>0</v>
      </c>
      <c r="N98" s="419">
        <f>SUMIFS(SX!AE$2:AE$19,SX!$B$2:$B$19,'chia CN SX'!$C98)</f>
        <v>0</v>
      </c>
      <c r="O98" s="419">
        <f>SUMIFS(SX!AF$2:AF$19,SX!$B$2:$B$19,'chia CN SX'!$C98)</f>
        <v>0</v>
      </c>
      <c r="P98" s="419">
        <f>SUMIFS(SX!AG$2:AG$19,SX!$B$2:$B$19,'chia CN SX'!$C98)</f>
        <v>0</v>
      </c>
      <c r="Q98" s="419">
        <f>SUMIFS(SX!AH$2:AH$19,SX!$B$2:$B$19,'chia CN SX'!$C98)</f>
        <v>0</v>
      </c>
      <c r="R98" s="419">
        <f>SUMIFS(SX!AI$2:AI$19,SX!$B$2:$B$19,'chia CN SX'!$C98)</f>
        <v>0</v>
      </c>
      <c r="S98" s="419">
        <f>SUMIFS(SX!AJ$2:AJ$19,SX!$B$2:$B$19,'chia CN SX'!$C98)</f>
        <v>0</v>
      </c>
    </row>
    <row r="99" spans="1:19">
      <c r="A99" s="421">
        <f t="shared" si="51"/>
        <v>97</v>
      </c>
      <c r="B99" s="331"/>
      <c r="C99" s="35"/>
      <c r="D99" s="419">
        <f>SUMIFS(SX!U$2:U$19,SX!$B$2:$B$19,'chia CN SX'!$C99)</f>
        <v>0</v>
      </c>
      <c r="E99" s="419">
        <f>SUMIFS(SX!V$2:V$19,SX!$B$2:$B$19,'chia CN SX'!$C99)</f>
        <v>0</v>
      </c>
      <c r="F99" s="419">
        <f>SUMIFS(SX!W$2:W$19,SX!$B$2:$B$19,'chia CN SX'!$C99)</f>
        <v>0</v>
      </c>
      <c r="G99" s="419">
        <f>SUMIFS(SX!X$2:X$19,SX!$B$2:$B$19,'chia CN SX'!$C99)</f>
        <v>0</v>
      </c>
      <c r="H99" s="419">
        <f>SUMIFS(SX!Y$2:Y$19,SX!$B$2:$B$19,'chia CN SX'!$C99)</f>
        <v>0</v>
      </c>
      <c r="I99" s="419">
        <f>SUMIFS(SX!Z$2:Z$19,SX!$B$2:$B$19,'chia CN SX'!$C99)</f>
        <v>0</v>
      </c>
      <c r="J99" s="419">
        <f>SUMIFS(SX!AA$2:AA$19,SX!$B$2:$B$19,'chia CN SX'!$C99)</f>
        <v>0</v>
      </c>
      <c r="K99" s="419">
        <f>SUMIFS(SX!AB$2:AB$19,SX!$B$2:$B$19,'chia CN SX'!$C99)</f>
        <v>0</v>
      </c>
      <c r="L99" s="419">
        <f>SUMIFS(SX!AC$2:AC$19,SX!$B$2:$B$19,'chia CN SX'!$C99)</f>
        <v>0</v>
      </c>
      <c r="M99" s="419">
        <f>SUMIFS(SX!AD$2:AD$19,SX!$B$2:$B$19,'chia CN SX'!$C99)</f>
        <v>0</v>
      </c>
      <c r="N99" s="419">
        <f>SUMIFS(SX!AE$2:AE$19,SX!$B$2:$B$19,'chia CN SX'!$C99)</f>
        <v>0</v>
      </c>
      <c r="O99" s="419">
        <f>SUMIFS(SX!AF$2:AF$19,SX!$B$2:$B$19,'chia CN SX'!$C99)</f>
        <v>0</v>
      </c>
      <c r="P99" s="419">
        <f>SUMIFS(SX!AG$2:AG$19,SX!$B$2:$B$19,'chia CN SX'!$C99)</f>
        <v>0</v>
      </c>
      <c r="Q99" s="419">
        <f>SUMIFS(SX!AH$2:AH$19,SX!$B$2:$B$19,'chia CN SX'!$C99)</f>
        <v>0</v>
      </c>
      <c r="R99" s="419">
        <f>SUMIFS(SX!AI$2:AI$19,SX!$B$2:$B$19,'chia CN SX'!$C99)</f>
        <v>0</v>
      </c>
      <c r="S99" s="419">
        <f>SUMIFS(SX!AJ$2:AJ$19,SX!$B$2:$B$19,'chia CN SX'!$C99)</f>
        <v>0</v>
      </c>
    </row>
    <row r="100" spans="1:19">
      <c r="A100" s="421">
        <f t="shared" si="51"/>
        <v>98</v>
      </c>
      <c r="B100" s="331"/>
      <c r="C100" s="35"/>
      <c r="D100" s="419">
        <f>SUMIFS(SX!U$2:U$19,SX!$B$2:$B$19,'chia CN SX'!$C100)</f>
        <v>0</v>
      </c>
      <c r="E100" s="419">
        <f>SUMIFS(SX!V$2:V$19,SX!$B$2:$B$19,'chia CN SX'!$C100)</f>
        <v>0</v>
      </c>
      <c r="F100" s="419">
        <f>SUMIFS(SX!W$2:W$19,SX!$B$2:$B$19,'chia CN SX'!$C100)</f>
        <v>0</v>
      </c>
      <c r="G100" s="419">
        <f>SUMIFS(SX!X$2:X$19,SX!$B$2:$B$19,'chia CN SX'!$C100)</f>
        <v>0</v>
      </c>
      <c r="H100" s="419">
        <f>SUMIFS(SX!Y$2:Y$19,SX!$B$2:$B$19,'chia CN SX'!$C100)</f>
        <v>0</v>
      </c>
      <c r="I100" s="419">
        <f>SUMIFS(SX!Z$2:Z$19,SX!$B$2:$B$19,'chia CN SX'!$C100)</f>
        <v>0</v>
      </c>
      <c r="J100" s="419">
        <f>SUMIFS(SX!AA$2:AA$19,SX!$B$2:$B$19,'chia CN SX'!$C100)</f>
        <v>0</v>
      </c>
      <c r="K100" s="419">
        <f>SUMIFS(SX!AB$2:AB$19,SX!$B$2:$B$19,'chia CN SX'!$C100)</f>
        <v>0</v>
      </c>
      <c r="L100" s="419">
        <f>SUMIFS(SX!AC$2:AC$19,SX!$B$2:$B$19,'chia CN SX'!$C100)</f>
        <v>0</v>
      </c>
      <c r="M100" s="419">
        <f>SUMIFS(SX!AD$2:AD$19,SX!$B$2:$B$19,'chia CN SX'!$C100)</f>
        <v>0</v>
      </c>
      <c r="N100" s="419">
        <f>SUMIFS(SX!AE$2:AE$19,SX!$B$2:$B$19,'chia CN SX'!$C100)</f>
        <v>0</v>
      </c>
      <c r="O100" s="419">
        <f>SUMIFS(SX!AF$2:AF$19,SX!$B$2:$B$19,'chia CN SX'!$C100)</f>
        <v>0</v>
      </c>
      <c r="P100" s="419">
        <f>SUMIFS(SX!AG$2:AG$19,SX!$B$2:$B$19,'chia CN SX'!$C100)</f>
        <v>0</v>
      </c>
      <c r="Q100" s="419">
        <f>SUMIFS(SX!AH$2:AH$19,SX!$B$2:$B$19,'chia CN SX'!$C100)</f>
        <v>0</v>
      </c>
      <c r="R100" s="419">
        <f>SUMIFS(SX!AI$2:AI$19,SX!$B$2:$B$19,'chia CN SX'!$C100)</f>
        <v>0</v>
      </c>
      <c r="S100" s="419">
        <f>SUMIFS(SX!AJ$2:AJ$19,SX!$B$2:$B$19,'chia CN SX'!$C100)</f>
        <v>0</v>
      </c>
    </row>
    <row r="101" spans="1:19">
      <c r="A101" s="421">
        <f t="shared" si="51"/>
        <v>99</v>
      </c>
      <c r="B101" s="331"/>
      <c r="C101" s="35"/>
      <c r="D101" s="419">
        <f>SUMIFS(SX!U$2:U$19,SX!$B$2:$B$19,'chia CN SX'!$C101)</f>
        <v>0</v>
      </c>
      <c r="E101" s="419">
        <f>SUMIFS(SX!V$2:V$19,SX!$B$2:$B$19,'chia CN SX'!$C101)</f>
        <v>0</v>
      </c>
      <c r="F101" s="419">
        <f>SUMIFS(SX!W$2:W$19,SX!$B$2:$B$19,'chia CN SX'!$C101)</f>
        <v>0</v>
      </c>
      <c r="G101" s="419">
        <f>SUMIFS(SX!X$2:X$19,SX!$B$2:$B$19,'chia CN SX'!$C101)</f>
        <v>0</v>
      </c>
      <c r="H101" s="419">
        <f>SUMIFS(SX!Y$2:Y$19,SX!$B$2:$B$19,'chia CN SX'!$C101)</f>
        <v>0</v>
      </c>
      <c r="I101" s="419">
        <f>SUMIFS(SX!Z$2:Z$19,SX!$B$2:$B$19,'chia CN SX'!$C101)</f>
        <v>0</v>
      </c>
      <c r="J101" s="419">
        <f>SUMIFS(SX!AA$2:AA$19,SX!$B$2:$B$19,'chia CN SX'!$C101)</f>
        <v>0</v>
      </c>
      <c r="K101" s="419">
        <f>SUMIFS(SX!AB$2:AB$19,SX!$B$2:$B$19,'chia CN SX'!$C101)</f>
        <v>0</v>
      </c>
      <c r="L101" s="419">
        <f>SUMIFS(SX!AC$2:AC$19,SX!$B$2:$B$19,'chia CN SX'!$C101)</f>
        <v>0</v>
      </c>
      <c r="M101" s="419">
        <f>SUMIFS(SX!AD$2:AD$19,SX!$B$2:$B$19,'chia CN SX'!$C101)</f>
        <v>0</v>
      </c>
      <c r="N101" s="419">
        <f>SUMIFS(SX!AE$2:AE$19,SX!$B$2:$B$19,'chia CN SX'!$C101)</f>
        <v>0</v>
      </c>
      <c r="O101" s="419">
        <f>SUMIFS(SX!AF$2:AF$19,SX!$B$2:$B$19,'chia CN SX'!$C101)</f>
        <v>0</v>
      </c>
      <c r="P101" s="419">
        <f>SUMIFS(SX!AG$2:AG$19,SX!$B$2:$B$19,'chia CN SX'!$C101)</f>
        <v>0</v>
      </c>
      <c r="Q101" s="419">
        <f>SUMIFS(SX!AH$2:AH$19,SX!$B$2:$B$19,'chia CN SX'!$C101)</f>
        <v>0</v>
      </c>
      <c r="R101" s="419">
        <f>SUMIFS(SX!AI$2:AI$19,SX!$B$2:$B$19,'chia CN SX'!$C101)</f>
        <v>0</v>
      </c>
      <c r="S101" s="419">
        <f>SUMIFS(SX!AJ$2:AJ$19,SX!$B$2:$B$19,'chia CN SX'!$C101)</f>
        <v>0</v>
      </c>
    </row>
    <row r="102" spans="1:19">
      <c r="A102" s="421">
        <f t="shared" si="51"/>
        <v>100</v>
      </c>
      <c r="B102" s="331"/>
      <c r="C102" s="35"/>
      <c r="D102" s="419">
        <f>SUMIFS(SX!U$2:U$19,SX!$B$2:$B$19,'chia CN SX'!$C102)</f>
        <v>0</v>
      </c>
      <c r="E102" s="419">
        <f>SUMIFS(SX!V$2:V$19,SX!$B$2:$B$19,'chia CN SX'!$C102)</f>
        <v>0</v>
      </c>
      <c r="F102" s="419">
        <f>SUMIFS(SX!W$2:W$19,SX!$B$2:$B$19,'chia CN SX'!$C102)</f>
        <v>0</v>
      </c>
      <c r="G102" s="419">
        <f>SUMIFS(SX!X$2:X$19,SX!$B$2:$B$19,'chia CN SX'!$C102)</f>
        <v>0</v>
      </c>
      <c r="H102" s="419">
        <f>SUMIFS(SX!Y$2:Y$19,SX!$B$2:$B$19,'chia CN SX'!$C102)</f>
        <v>0</v>
      </c>
      <c r="I102" s="419">
        <f>SUMIFS(SX!Z$2:Z$19,SX!$B$2:$B$19,'chia CN SX'!$C102)</f>
        <v>0</v>
      </c>
      <c r="J102" s="419">
        <f>SUMIFS(SX!AA$2:AA$19,SX!$B$2:$B$19,'chia CN SX'!$C102)</f>
        <v>0</v>
      </c>
      <c r="K102" s="419">
        <f>SUMIFS(SX!AB$2:AB$19,SX!$B$2:$B$19,'chia CN SX'!$C102)</f>
        <v>0</v>
      </c>
      <c r="L102" s="419">
        <f>SUMIFS(SX!AC$2:AC$19,SX!$B$2:$B$19,'chia CN SX'!$C102)</f>
        <v>0</v>
      </c>
      <c r="M102" s="419">
        <f>SUMIFS(SX!AD$2:AD$19,SX!$B$2:$B$19,'chia CN SX'!$C102)</f>
        <v>0</v>
      </c>
      <c r="N102" s="419">
        <f>SUMIFS(SX!AE$2:AE$19,SX!$B$2:$B$19,'chia CN SX'!$C102)</f>
        <v>0</v>
      </c>
      <c r="O102" s="419">
        <f>SUMIFS(SX!AF$2:AF$19,SX!$B$2:$B$19,'chia CN SX'!$C102)</f>
        <v>0</v>
      </c>
      <c r="P102" s="419">
        <f>SUMIFS(SX!AG$2:AG$19,SX!$B$2:$B$19,'chia CN SX'!$C102)</f>
        <v>0</v>
      </c>
      <c r="Q102" s="419">
        <f>SUMIFS(SX!AH$2:AH$19,SX!$B$2:$B$19,'chia CN SX'!$C102)</f>
        <v>0</v>
      </c>
      <c r="R102" s="419">
        <f>SUMIFS(SX!AI$2:AI$19,SX!$B$2:$B$19,'chia CN SX'!$C102)</f>
        <v>0</v>
      </c>
      <c r="S102" s="419">
        <f>SUMIFS(SX!AJ$2:AJ$19,SX!$B$2:$B$19,'chia CN SX'!$C102)</f>
        <v>0</v>
      </c>
    </row>
    <row r="103" spans="1:19">
      <c r="A103" s="421">
        <f t="shared" si="51"/>
        <v>101</v>
      </c>
      <c r="B103" s="331"/>
      <c r="C103" s="35"/>
      <c r="D103" s="419">
        <f>SUMIFS(SX!U$2:U$19,SX!$B$2:$B$19,'chia CN SX'!$C103)</f>
        <v>0</v>
      </c>
      <c r="E103" s="419">
        <f>SUMIFS(SX!V$2:V$19,SX!$B$2:$B$19,'chia CN SX'!$C103)</f>
        <v>0</v>
      </c>
      <c r="F103" s="419">
        <f>SUMIFS(SX!W$2:W$19,SX!$B$2:$B$19,'chia CN SX'!$C103)</f>
        <v>0</v>
      </c>
      <c r="G103" s="419">
        <f>SUMIFS(SX!X$2:X$19,SX!$B$2:$B$19,'chia CN SX'!$C103)</f>
        <v>0</v>
      </c>
      <c r="H103" s="419">
        <f>SUMIFS(SX!Y$2:Y$19,SX!$B$2:$B$19,'chia CN SX'!$C103)</f>
        <v>0</v>
      </c>
      <c r="I103" s="419">
        <f>SUMIFS(SX!Z$2:Z$19,SX!$B$2:$B$19,'chia CN SX'!$C103)</f>
        <v>0</v>
      </c>
      <c r="J103" s="419">
        <f>SUMIFS(SX!AA$2:AA$19,SX!$B$2:$B$19,'chia CN SX'!$C103)</f>
        <v>0</v>
      </c>
      <c r="K103" s="419">
        <f>SUMIFS(SX!AB$2:AB$19,SX!$B$2:$B$19,'chia CN SX'!$C103)</f>
        <v>0</v>
      </c>
      <c r="L103" s="419">
        <f>SUMIFS(SX!AC$2:AC$19,SX!$B$2:$B$19,'chia CN SX'!$C103)</f>
        <v>0</v>
      </c>
      <c r="M103" s="419">
        <f>SUMIFS(SX!AD$2:AD$19,SX!$B$2:$B$19,'chia CN SX'!$C103)</f>
        <v>0</v>
      </c>
      <c r="N103" s="419">
        <f>SUMIFS(SX!AE$2:AE$19,SX!$B$2:$B$19,'chia CN SX'!$C103)</f>
        <v>0</v>
      </c>
      <c r="O103" s="419">
        <f>SUMIFS(SX!AF$2:AF$19,SX!$B$2:$B$19,'chia CN SX'!$C103)</f>
        <v>0</v>
      </c>
      <c r="P103" s="419">
        <f>SUMIFS(SX!AG$2:AG$19,SX!$B$2:$B$19,'chia CN SX'!$C103)</f>
        <v>0</v>
      </c>
      <c r="Q103" s="419">
        <f>SUMIFS(SX!AH$2:AH$19,SX!$B$2:$B$19,'chia CN SX'!$C103)</f>
        <v>0</v>
      </c>
      <c r="R103" s="419">
        <f>SUMIFS(SX!AI$2:AI$19,SX!$B$2:$B$19,'chia CN SX'!$C103)</f>
        <v>0</v>
      </c>
      <c r="S103" s="419">
        <f>SUMIFS(SX!AJ$2:AJ$19,SX!$B$2:$B$19,'chia CN SX'!$C103)</f>
        <v>0</v>
      </c>
    </row>
    <row r="104" spans="1:19">
      <c r="A104" s="421">
        <f t="shared" si="51"/>
        <v>102</v>
      </c>
      <c r="B104" s="331"/>
      <c r="C104" s="35"/>
      <c r="D104" s="419">
        <f>SUMIFS(SX!U$2:U$19,SX!$B$2:$B$19,'chia CN SX'!$C104)</f>
        <v>0</v>
      </c>
      <c r="E104" s="419">
        <f>SUMIFS(SX!V$2:V$19,SX!$B$2:$B$19,'chia CN SX'!$C104)</f>
        <v>0</v>
      </c>
      <c r="F104" s="419">
        <f>SUMIFS(SX!W$2:W$19,SX!$B$2:$B$19,'chia CN SX'!$C104)</f>
        <v>0</v>
      </c>
      <c r="G104" s="419">
        <f>SUMIFS(SX!X$2:X$19,SX!$B$2:$B$19,'chia CN SX'!$C104)</f>
        <v>0</v>
      </c>
      <c r="H104" s="419">
        <f>SUMIFS(SX!Y$2:Y$19,SX!$B$2:$B$19,'chia CN SX'!$C104)</f>
        <v>0</v>
      </c>
      <c r="I104" s="419">
        <f>SUMIFS(SX!Z$2:Z$19,SX!$B$2:$B$19,'chia CN SX'!$C104)</f>
        <v>0</v>
      </c>
      <c r="J104" s="419">
        <f>SUMIFS(SX!AA$2:AA$19,SX!$B$2:$B$19,'chia CN SX'!$C104)</f>
        <v>0</v>
      </c>
      <c r="K104" s="419">
        <f>SUMIFS(SX!AB$2:AB$19,SX!$B$2:$B$19,'chia CN SX'!$C104)</f>
        <v>0</v>
      </c>
      <c r="L104" s="419">
        <f>SUMIFS(SX!AC$2:AC$19,SX!$B$2:$B$19,'chia CN SX'!$C104)</f>
        <v>0</v>
      </c>
      <c r="M104" s="419">
        <f>SUMIFS(SX!AD$2:AD$19,SX!$B$2:$B$19,'chia CN SX'!$C104)</f>
        <v>0</v>
      </c>
      <c r="N104" s="419">
        <f>SUMIFS(SX!AE$2:AE$19,SX!$B$2:$B$19,'chia CN SX'!$C104)</f>
        <v>0</v>
      </c>
      <c r="O104" s="419">
        <f>SUMIFS(SX!AF$2:AF$19,SX!$B$2:$B$19,'chia CN SX'!$C104)</f>
        <v>0</v>
      </c>
      <c r="P104" s="419">
        <f>SUMIFS(SX!AG$2:AG$19,SX!$B$2:$B$19,'chia CN SX'!$C104)</f>
        <v>0</v>
      </c>
      <c r="Q104" s="419">
        <f>SUMIFS(SX!AH$2:AH$19,SX!$B$2:$B$19,'chia CN SX'!$C104)</f>
        <v>0</v>
      </c>
      <c r="R104" s="419">
        <f>SUMIFS(SX!AI$2:AI$19,SX!$B$2:$B$19,'chia CN SX'!$C104)</f>
        <v>0</v>
      </c>
      <c r="S104" s="419">
        <f>SUMIFS(SX!AJ$2:AJ$19,SX!$B$2:$B$19,'chia CN SX'!$C104)</f>
        <v>0</v>
      </c>
    </row>
    <row r="105" spans="1:19">
      <c r="A105" s="421">
        <f t="shared" si="51"/>
        <v>103</v>
      </c>
      <c r="B105" s="331"/>
      <c r="C105" s="35"/>
      <c r="D105" s="419">
        <f>SUMIFS(SX!U$2:U$19,SX!$B$2:$B$19,'chia CN SX'!$C105)</f>
        <v>0</v>
      </c>
      <c r="E105" s="419">
        <f>SUMIFS(SX!V$2:V$19,SX!$B$2:$B$19,'chia CN SX'!$C105)</f>
        <v>0</v>
      </c>
      <c r="F105" s="419">
        <f>SUMIFS(SX!W$2:W$19,SX!$B$2:$B$19,'chia CN SX'!$C105)</f>
        <v>0</v>
      </c>
      <c r="G105" s="419">
        <f>SUMIFS(SX!X$2:X$19,SX!$B$2:$B$19,'chia CN SX'!$C105)</f>
        <v>0</v>
      </c>
      <c r="H105" s="419">
        <f>SUMIFS(SX!Y$2:Y$19,SX!$B$2:$B$19,'chia CN SX'!$C105)</f>
        <v>0</v>
      </c>
      <c r="I105" s="419">
        <f>SUMIFS(SX!Z$2:Z$19,SX!$B$2:$B$19,'chia CN SX'!$C105)</f>
        <v>0</v>
      </c>
      <c r="J105" s="419">
        <f>SUMIFS(SX!AA$2:AA$19,SX!$B$2:$B$19,'chia CN SX'!$C105)</f>
        <v>0</v>
      </c>
      <c r="K105" s="419">
        <f>SUMIFS(SX!AB$2:AB$19,SX!$B$2:$B$19,'chia CN SX'!$C105)</f>
        <v>0</v>
      </c>
      <c r="L105" s="419">
        <f>SUMIFS(SX!AC$2:AC$19,SX!$B$2:$B$19,'chia CN SX'!$C105)</f>
        <v>0</v>
      </c>
      <c r="M105" s="419">
        <f>SUMIFS(SX!AD$2:AD$19,SX!$B$2:$B$19,'chia CN SX'!$C105)</f>
        <v>0</v>
      </c>
      <c r="N105" s="419">
        <f>SUMIFS(SX!AE$2:AE$19,SX!$B$2:$B$19,'chia CN SX'!$C105)</f>
        <v>0</v>
      </c>
      <c r="O105" s="419">
        <f>SUMIFS(SX!AF$2:AF$19,SX!$B$2:$B$19,'chia CN SX'!$C105)</f>
        <v>0</v>
      </c>
      <c r="P105" s="419">
        <f>SUMIFS(SX!AG$2:AG$19,SX!$B$2:$B$19,'chia CN SX'!$C105)</f>
        <v>0</v>
      </c>
      <c r="Q105" s="419">
        <f>SUMIFS(SX!AH$2:AH$19,SX!$B$2:$B$19,'chia CN SX'!$C105)</f>
        <v>0</v>
      </c>
      <c r="R105" s="419">
        <f>SUMIFS(SX!AI$2:AI$19,SX!$B$2:$B$19,'chia CN SX'!$C105)</f>
        <v>0</v>
      </c>
      <c r="S105" s="419">
        <f>SUMIFS(SX!AJ$2:AJ$19,SX!$B$2:$B$19,'chia CN SX'!$C105)</f>
        <v>0</v>
      </c>
    </row>
    <row r="106" spans="1:19">
      <c r="A106" s="421">
        <f t="shared" si="51"/>
        <v>104</v>
      </c>
      <c r="B106" s="331"/>
      <c r="C106" s="35"/>
      <c r="D106" s="419">
        <f>SUMIFS(SX!U$2:U$19,SX!$B$2:$B$19,'chia CN SX'!$C106)</f>
        <v>0</v>
      </c>
      <c r="E106" s="419">
        <f>SUMIFS(SX!V$2:V$19,SX!$B$2:$B$19,'chia CN SX'!$C106)</f>
        <v>0</v>
      </c>
      <c r="F106" s="419">
        <f>SUMIFS(SX!W$2:W$19,SX!$B$2:$B$19,'chia CN SX'!$C106)</f>
        <v>0</v>
      </c>
      <c r="G106" s="419">
        <f>SUMIFS(SX!X$2:X$19,SX!$B$2:$B$19,'chia CN SX'!$C106)</f>
        <v>0</v>
      </c>
      <c r="H106" s="419">
        <f>SUMIFS(SX!Y$2:Y$19,SX!$B$2:$B$19,'chia CN SX'!$C106)</f>
        <v>0</v>
      </c>
      <c r="I106" s="419">
        <f>SUMIFS(SX!Z$2:Z$19,SX!$B$2:$B$19,'chia CN SX'!$C106)</f>
        <v>0</v>
      </c>
      <c r="J106" s="419">
        <f>SUMIFS(SX!AA$2:AA$19,SX!$B$2:$B$19,'chia CN SX'!$C106)</f>
        <v>0</v>
      </c>
      <c r="K106" s="419">
        <f>SUMIFS(SX!AB$2:AB$19,SX!$B$2:$B$19,'chia CN SX'!$C106)</f>
        <v>0</v>
      </c>
      <c r="L106" s="419">
        <f>SUMIFS(SX!AC$2:AC$19,SX!$B$2:$B$19,'chia CN SX'!$C106)</f>
        <v>0</v>
      </c>
      <c r="M106" s="419">
        <f>SUMIFS(SX!AD$2:AD$19,SX!$B$2:$B$19,'chia CN SX'!$C106)</f>
        <v>0</v>
      </c>
      <c r="N106" s="419">
        <f>SUMIFS(SX!AE$2:AE$19,SX!$B$2:$B$19,'chia CN SX'!$C106)</f>
        <v>0</v>
      </c>
      <c r="O106" s="419">
        <f>SUMIFS(SX!AF$2:AF$19,SX!$B$2:$B$19,'chia CN SX'!$C106)</f>
        <v>0</v>
      </c>
      <c r="P106" s="419">
        <f>SUMIFS(SX!AG$2:AG$19,SX!$B$2:$B$19,'chia CN SX'!$C106)</f>
        <v>0</v>
      </c>
      <c r="Q106" s="419">
        <f>SUMIFS(SX!AH$2:AH$19,SX!$B$2:$B$19,'chia CN SX'!$C106)</f>
        <v>0</v>
      </c>
      <c r="R106" s="419">
        <f>SUMIFS(SX!AI$2:AI$19,SX!$B$2:$B$19,'chia CN SX'!$C106)</f>
        <v>0</v>
      </c>
      <c r="S106" s="419">
        <f>SUMIFS(SX!AJ$2:AJ$19,SX!$B$2:$B$19,'chia CN SX'!$C106)</f>
        <v>0</v>
      </c>
    </row>
    <row r="107" spans="1:19">
      <c r="A107" s="421">
        <f t="shared" si="51"/>
        <v>105</v>
      </c>
      <c r="B107" s="331"/>
      <c r="C107" s="35"/>
      <c r="D107" s="419">
        <f>SUMIFS(SX!U$2:U$19,SX!$B$2:$B$19,'chia CN SX'!$C107)</f>
        <v>0</v>
      </c>
      <c r="E107" s="419">
        <f>SUMIFS(SX!V$2:V$19,SX!$B$2:$B$19,'chia CN SX'!$C107)</f>
        <v>0</v>
      </c>
      <c r="F107" s="419">
        <f>SUMIFS(SX!W$2:W$19,SX!$B$2:$B$19,'chia CN SX'!$C107)</f>
        <v>0</v>
      </c>
      <c r="G107" s="419">
        <f>SUMIFS(SX!X$2:X$19,SX!$B$2:$B$19,'chia CN SX'!$C107)</f>
        <v>0</v>
      </c>
      <c r="H107" s="419">
        <f>SUMIFS(SX!Y$2:Y$19,SX!$B$2:$B$19,'chia CN SX'!$C107)</f>
        <v>0</v>
      </c>
      <c r="I107" s="419">
        <f>SUMIFS(SX!Z$2:Z$19,SX!$B$2:$B$19,'chia CN SX'!$C107)</f>
        <v>0</v>
      </c>
      <c r="J107" s="419">
        <f>SUMIFS(SX!AA$2:AA$19,SX!$B$2:$B$19,'chia CN SX'!$C107)</f>
        <v>0</v>
      </c>
      <c r="K107" s="419">
        <f>SUMIFS(SX!AB$2:AB$19,SX!$B$2:$B$19,'chia CN SX'!$C107)</f>
        <v>0</v>
      </c>
      <c r="L107" s="419">
        <f>SUMIFS(SX!AC$2:AC$19,SX!$B$2:$B$19,'chia CN SX'!$C107)</f>
        <v>0</v>
      </c>
      <c r="M107" s="419">
        <f>SUMIFS(SX!AD$2:AD$19,SX!$B$2:$B$19,'chia CN SX'!$C107)</f>
        <v>0</v>
      </c>
      <c r="N107" s="419">
        <f>SUMIFS(SX!AE$2:AE$19,SX!$B$2:$B$19,'chia CN SX'!$C107)</f>
        <v>0</v>
      </c>
      <c r="O107" s="419">
        <f>SUMIFS(SX!AF$2:AF$19,SX!$B$2:$B$19,'chia CN SX'!$C107)</f>
        <v>0</v>
      </c>
      <c r="P107" s="419">
        <f>SUMIFS(SX!AG$2:AG$19,SX!$B$2:$B$19,'chia CN SX'!$C107)</f>
        <v>0</v>
      </c>
      <c r="Q107" s="419">
        <f>SUMIFS(SX!AH$2:AH$19,SX!$B$2:$B$19,'chia CN SX'!$C107)</f>
        <v>0</v>
      </c>
      <c r="R107" s="419">
        <f>SUMIFS(SX!AI$2:AI$19,SX!$B$2:$B$19,'chia CN SX'!$C107)</f>
        <v>0</v>
      </c>
      <c r="S107" s="419">
        <f>SUMIFS(SX!AJ$2:AJ$19,SX!$B$2:$B$19,'chia CN SX'!$C107)</f>
        <v>0</v>
      </c>
    </row>
    <row r="108" spans="1:19">
      <c r="A108" s="421">
        <f t="shared" si="51"/>
        <v>106</v>
      </c>
      <c r="B108" s="331"/>
      <c r="C108" s="35"/>
      <c r="D108" s="419">
        <f>SUMIFS(SX!U$2:U$19,SX!$B$2:$B$19,'chia CN SX'!$C108)</f>
        <v>0</v>
      </c>
      <c r="E108" s="419">
        <f>SUMIFS(SX!V$2:V$19,SX!$B$2:$B$19,'chia CN SX'!$C108)</f>
        <v>0</v>
      </c>
      <c r="F108" s="419">
        <f>SUMIFS(SX!W$2:W$19,SX!$B$2:$B$19,'chia CN SX'!$C108)</f>
        <v>0</v>
      </c>
      <c r="G108" s="419">
        <f>SUMIFS(SX!X$2:X$19,SX!$B$2:$B$19,'chia CN SX'!$C108)</f>
        <v>0</v>
      </c>
      <c r="H108" s="419">
        <f>SUMIFS(SX!Y$2:Y$19,SX!$B$2:$B$19,'chia CN SX'!$C108)</f>
        <v>0</v>
      </c>
      <c r="I108" s="419">
        <f>SUMIFS(SX!Z$2:Z$19,SX!$B$2:$B$19,'chia CN SX'!$C108)</f>
        <v>0</v>
      </c>
      <c r="J108" s="419">
        <f>SUMIFS(SX!AA$2:AA$19,SX!$B$2:$B$19,'chia CN SX'!$C108)</f>
        <v>0</v>
      </c>
      <c r="K108" s="419">
        <f>SUMIFS(SX!AB$2:AB$19,SX!$B$2:$B$19,'chia CN SX'!$C108)</f>
        <v>0</v>
      </c>
      <c r="L108" s="419">
        <f>SUMIFS(SX!AC$2:AC$19,SX!$B$2:$B$19,'chia CN SX'!$C108)</f>
        <v>0</v>
      </c>
      <c r="M108" s="419">
        <f>SUMIFS(SX!AD$2:AD$19,SX!$B$2:$B$19,'chia CN SX'!$C108)</f>
        <v>0</v>
      </c>
      <c r="N108" s="419">
        <f>SUMIFS(SX!AE$2:AE$19,SX!$B$2:$B$19,'chia CN SX'!$C108)</f>
        <v>0</v>
      </c>
      <c r="O108" s="419">
        <f>SUMIFS(SX!AF$2:AF$19,SX!$B$2:$B$19,'chia CN SX'!$C108)</f>
        <v>0</v>
      </c>
      <c r="P108" s="419">
        <f>SUMIFS(SX!AG$2:AG$19,SX!$B$2:$B$19,'chia CN SX'!$C108)</f>
        <v>0</v>
      </c>
      <c r="Q108" s="419">
        <f>SUMIFS(SX!AH$2:AH$19,SX!$B$2:$B$19,'chia CN SX'!$C108)</f>
        <v>0</v>
      </c>
      <c r="R108" s="419">
        <f>SUMIFS(SX!AI$2:AI$19,SX!$B$2:$B$19,'chia CN SX'!$C108)</f>
        <v>0</v>
      </c>
      <c r="S108" s="419">
        <f>SUMIFS(SX!AJ$2:AJ$19,SX!$B$2:$B$19,'chia CN SX'!$C108)</f>
        <v>0</v>
      </c>
    </row>
    <row r="109" spans="1:19">
      <c r="A109" s="421">
        <f t="shared" si="51"/>
        <v>107</v>
      </c>
      <c r="B109" s="331"/>
      <c r="C109" s="35"/>
      <c r="D109" s="419">
        <f>SUMIFS(SX!U$2:U$19,SX!$B$2:$B$19,'chia CN SX'!$C109)</f>
        <v>0</v>
      </c>
      <c r="E109" s="419">
        <f>SUMIFS(SX!V$2:V$19,SX!$B$2:$B$19,'chia CN SX'!$C109)</f>
        <v>0</v>
      </c>
      <c r="F109" s="419">
        <f>SUMIFS(SX!W$2:W$19,SX!$B$2:$B$19,'chia CN SX'!$C109)</f>
        <v>0</v>
      </c>
      <c r="G109" s="419">
        <f>SUMIFS(SX!X$2:X$19,SX!$B$2:$B$19,'chia CN SX'!$C109)</f>
        <v>0</v>
      </c>
      <c r="H109" s="419">
        <f>SUMIFS(SX!Y$2:Y$19,SX!$B$2:$B$19,'chia CN SX'!$C109)</f>
        <v>0</v>
      </c>
      <c r="I109" s="419">
        <f>SUMIFS(SX!Z$2:Z$19,SX!$B$2:$B$19,'chia CN SX'!$C109)</f>
        <v>0</v>
      </c>
      <c r="J109" s="419">
        <f>SUMIFS(SX!AA$2:AA$19,SX!$B$2:$B$19,'chia CN SX'!$C109)</f>
        <v>0</v>
      </c>
      <c r="K109" s="419">
        <f>SUMIFS(SX!AB$2:AB$19,SX!$B$2:$B$19,'chia CN SX'!$C109)</f>
        <v>0</v>
      </c>
      <c r="L109" s="419">
        <f>SUMIFS(SX!AC$2:AC$19,SX!$B$2:$B$19,'chia CN SX'!$C109)</f>
        <v>0</v>
      </c>
      <c r="M109" s="419">
        <f>SUMIFS(SX!AD$2:AD$19,SX!$B$2:$B$19,'chia CN SX'!$C109)</f>
        <v>0</v>
      </c>
      <c r="N109" s="419">
        <f>SUMIFS(SX!AE$2:AE$19,SX!$B$2:$B$19,'chia CN SX'!$C109)</f>
        <v>0</v>
      </c>
      <c r="O109" s="419">
        <f>SUMIFS(SX!AF$2:AF$19,SX!$B$2:$B$19,'chia CN SX'!$C109)</f>
        <v>0</v>
      </c>
      <c r="P109" s="419">
        <f>SUMIFS(SX!AG$2:AG$19,SX!$B$2:$B$19,'chia CN SX'!$C109)</f>
        <v>0</v>
      </c>
      <c r="Q109" s="419">
        <f>SUMIFS(SX!AH$2:AH$19,SX!$B$2:$B$19,'chia CN SX'!$C109)</f>
        <v>0</v>
      </c>
      <c r="R109" s="419">
        <f>SUMIFS(SX!AI$2:AI$19,SX!$B$2:$B$19,'chia CN SX'!$C109)</f>
        <v>0</v>
      </c>
      <c r="S109" s="419">
        <f>SUMIFS(SX!AJ$2:AJ$19,SX!$B$2:$B$19,'chia CN SX'!$C109)</f>
        <v>0</v>
      </c>
    </row>
    <row r="110" spans="1:19">
      <c r="A110" s="421">
        <f t="shared" si="51"/>
        <v>108</v>
      </c>
      <c r="B110" s="331"/>
      <c r="C110" s="35"/>
      <c r="D110" s="419">
        <f>SUMIFS(SX!U$2:U$19,SX!$B$2:$B$19,'chia CN SX'!$C110)</f>
        <v>0</v>
      </c>
      <c r="E110" s="419">
        <f>SUMIFS(SX!V$2:V$19,SX!$B$2:$B$19,'chia CN SX'!$C110)</f>
        <v>0</v>
      </c>
      <c r="F110" s="419">
        <f>SUMIFS(SX!W$2:W$19,SX!$B$2:$B$19,'chia CN SX'!$C110)</f>
        <v>0</v>
      </c>
      <c r="G110" s="419">
        <f>SUMIFS(SX!X$2:X$19,SX!$B$2:$B$19,'chia CN SX'!$C110)</f>
        <v>0</v>
      </c>
      <c r="H110" s="419">
        <f>SUMIFS(SX!Y$2:Y$19,SX!$B$2:$B$19,'chia CN SX'!$C110)</f>
        <v>0</v>
      </c>
      <c r="I110" s="419">
        <f>SUMIFS(SX!Z$2:Z$19,SX!$B$2:$B$19,'chia CN SX'!$C110)</f>
        <v>0</v>
      </c>
      <c r="J110" s="419">
        <f>SUMIFS(SX!AA$2:AA$19,SX!$B$2:$B$19,'chia CN SX'!$C110)</f>
        <v>0</v>
      </c>
      <c r="K110" s="419">
        <f>SUMIFS(SX!AB$2:AB$19,SX!$B$2:$B$19,'chia CN SX'!$C110)</f>
        <v>0</v>
      </c>
      <c r="L110" s="419">
        <f>SUMIFS(SX!AC$2:AC$19,SX!$B$2:$B$19,'chia CN SX'!$C110)</f>
        <v>0</v>
      </c>
      <c r="M110" s="419">
        <f>SUMIFS(SX!AD$2:AD$19,SX!$B$2:$B$19,'chia CN SX'!$C110)</f>
        <v>0</v>
      </c>
      <c r="N110" s="419">
        <f>SUMIFS(SX!AE$2:AE$19,SX!$B$2:$B$19,'chia CN SX'!$C110)</f>
        <v>0</v>
      </c>
      <c r="O110" s="419">
        <f>SUMIFS(SX!AF$2:AF$19,SX!$B$2:$B$19,'chia CN SX'!$C110)</f>
        <v>0</v>
      </c>
      <c r="P110" s="419">
        <f>SUMIFS(SX!AG$2:AG$19,SX!$B$2:$B$19,'chia CN SX'!$C110)</f>
        <v>0</v>
      </c>
      <c r="Q110" s="419">
        <f>SUMIFS(SX!AH$2:AH$19,SX!$B$2:$B$19,'chia CN SX'!$C110)</f>
        <v>0</v>
      </c>
      <c r="R110" s="419">
        <f>SUMIFS(SX!AI$2:AI$19,SX!$B$2:$B$19,'chia CN SX'!$C110)</f>
        <v>0</v>
      </c>
      <c r="S110" s="419">
        <f>SUMIFS(SX!AJ$2:AJ$19,SX!$B$2:$B$19,'chia CN SX'!$C110)</f>
        <v>0</v>
      </c>
    </row>
    <row r="111" spans="1:19">
      <c r="A111" s="421">
        <f t="shared" si="51"/>
        <v>109</v>
      </c>
      <c r="B111" s="331"/>
      <c r="C111" s="35"/>
      <c r="D111" s="419">
        <f>SUMIFS(SX!U$2:U$19,SX!$B$2:$B$19,'chia CN SX'!$C111)</f>
        <v>0</v>
      </c>
      <c r="E111" s="419">
        <f>SUMIFS(SX!V$2:V$19,SX!$B$2:$B$19,'chia CN SX'!$C111)</f>
        <v>0</v>
      </c>
      <c r="F111" s="419">
        <f>SUMIFS(SX!W$2:W$19,SX!$B$2:$B$19,'chia CN SX'!$C111)</f>
        <v>0</v>
      </c>
      <c r="G111" s="419">
        <f>SUMIFS(SX!X$2:X$19,SX!$B$2:$B$19,'chia CN SX'!$C111)</f>
        <v>0</v>
      </c>
      <c r="H111" s="419">
        <f>SUMIFS(SX!Y$2:Y$19,SX!$B$2:$B$19,'chia CN SX'!$C111)</f>
        <v>0</v>
      </c>
      <c r="I111" s="419">
        <f>SUMIFS(SX!Z$2:Z$19,SX!$B$2:$B$19,'chia CN SX'!$C111)</f>
        <v>0</v>
      </c>
      <c r="J111" s="419">
        <f>SUMIFS(SX!AA$2:AA$19,SX!$B$2:$B$19,'chia CN SX'!$C111)</f>
        <v>0</v>
      </c>
      <c r="K111" s="419">
        <f>SUMIFS(SX!AB$2:AB$19,SX!$B$2:$B$19,'chia CN SX'!$C111)</f>
        <v>0</v>
      </c>
      <c r="L111" s="419">
        <f>SUMIFS(SX!AC$2:AC$19,SX!$B$2:$B$19,'chia CN SX'!$C111)</f>
        <v>0</v>
      </c>
      <c r="M111" s="419">
        <f>SUMIFS(SX!AD$2:AD$19,SX!$B$2:$B$19,'chia CN SX'!$C111)</f>
        <v>0</v>
      </c>
      <c r="N111" s="419">
        <f>SUMIFS(SX!AE$2:AE$19,SX!$B$2:$B$19,'chia CN SX'!$C111)</f>
        <v>0</v>
      </c>
      <c r="O111" s="419">
        <f>SUMIFS(SX!AF$2:AF$19,SX!$B$2:$B$19,'chia CN SX'!$C111)</f>
        <v>0</v>
      </c>
      <c r="P111" s="419">
        <f>SUMIFS(SX!AG$2:AG$19,SX!$B$2:$B$19,'chia CN SX'!$C111)</f>
        <v>0</v>
      </c>
      <c r="Q111" s="419">
        <f>SUMIFS(SX!AH$2:AH$19,SX!$B$2:$B$19,'chia CN SX'!$C111)</f>
        <v>0</v>
      </c>
      <c r="R111" s="419">
        <f>SUMIFS(SX!AI$2:AI$19,SX!$B$2:$B$19,'chia CN SX'!$C111)</f>
        <v>0</v>
      </c>
      <c r="S111" s="419">
        <f>SUMIFS(SX!AJ$2:AJ$19,SX!$B$2:$B$19,'chia CN SX'!$C111)</f>
        <v>0</v>
      </c>
    </row>
    <row r="112" spans="1:19">
      <c r="A112" s="421">
        <f t="shared" si="51"/>
        <v>110</v>
      </c>
      <c r="B112" s="331"/>
      <c r="C112" s="35"/>
      <c r="D112" s="419">
        <f>SUMIFS(SX!U$2:U$19,SX!$B$2:$B$19,'chia CN SX'!$C112)</f>
        <v>0</v>
      </c>
      <c r="E112" s="419">
        <f>SUMIFS(SX!V$2:V$19,SX!$B$2:$B$19,'chia CN SX'!$C112)</f>
        <v>0</v>
      </c>
      <c r="F112" s="419">
        <f>SUMIFS(SX!W$2:W$19,SX!$B$2:$B$19,'chia CN SX'!$C112)</f>
        <v>0</v>
      </c>
      <c r="G112" s="419">
        <f>SUMIFS(SX!X$2:X$19,SX!$B$2:$B$19,'chia CN SX'!$C112)</f>
        <v>0</v>
      </c>
      <c r="H112" s="419">
        <f>SUMIFS(SX!Y$2:Y$19,SX!$B$2:$B$19,'chia CN SX'!$C112)</f>
        <v>0</v>
      </c>
      <c r="I112" s="419">
        <f>SUMIFS(SX!Z$2:Z$19,SX!$B$2:$B$19,'chia CN SX'!$C112)</f>
        <v>0</v>
      </c>
      <c r="J112" s="419">
        <f>SUMIFS(SX!AA$2:AA$19,SX!$B$2:$B$19,'chia CN SX'!$C112)</f>
        <v>0</v>
      </c>
      <c r="K112" s="419">
        <f>SUMIFS(SX!AB$2:AB$19,SX!$B$2:$B$19,'chia CN SX'!$C112)</f>
        <v>0</v>
      </c>
      <c r="L112" s="419">
        <f>SUMIFS(SX!AC$2:AC$19,SX!$B$2:$B$19,'chia CN SX'!$C112)</f>
        <v>0</v>
      </c>
      <c r="M112" s="419">
        <f>SUMIFS(SX!AD$2:AD$19,SX!$B$2:$B$19,'chia CN SX'!$C112)</f>
        <v>0</v>
      </c>
      <c r="N112" s="419">
        <f>SUMIFS(SX!AE$2:AE$19,SX!$B$2:$B$19,'chia CN SX'!$C112)</f>
        <v>0</v>
      </c>
      <c r="O112" s="419">
        <f>SUMIFS(SX!AF$2:AF$19,SX!$B$2:$B$19,'chia CN SX'!$C112)</f>
        <v>0</v>
      </c>
      <c r="P112" s="419">
        <f>SUMIFS(SX!AG$2:AG$19,SX!$B$2:$B$19,'chia CN SX'!$C112)</f>
        <v>0</v>
      </c>
      <c r="Q112" s="419">
        <f>SUMIFS(SX!AH$2:AH$19,SX!$B$2:$B$19,'chia CN SX'!$C112)</f>
        <v>0</v>
      </c>
      <c r="R112" s="419">
        <f>SUMIFS(SX!AI$2:AI$19,SX!$B$2:$B$19,'chia CN SX'!$C112)</f>
        <v>0</v>
      </c>
      <c r="S112" s="419">
        <f>SUMIFS(SX!AJ$2:AJ$19,SX!$B$2:$B$19,'chia CN SX'!$C112)</f>
        <v>0</v>
      </c>
    </row>
    <row r="113" spans="1:19">
      <c r="A113" s="421">
        <f t="shared" si="51"/>
        <v>111</v>
      </c>
      <c r="B113" s="331"/>
      <c r="C113" s="35"/>
      <c r="D113" s="419">
        <f>SUMIFS(SX!U$2:U$19,SX!$B$2:$B$19,'chia CN SX'!$C113)</f>
        <v>0</v>
      </c>
      <c r="E113" s="419">
        <f>SUMIFS(SX!V$2:V$19,SX!$B$2:$B$19,'chia CN SX'!$C113)</f>
        <v>0</v>
      </c>
      <c r="F113" s="419">
        <f>SUMIFS(SX!W$2:W$19,SX!$B$2:$B$19,'chia CN SX'!$C113)</f>
        <v>0</v>
      </c>
      <c r="G113" s="419">
        <f>SUMIFS(SX!X$2:X$19,SX!$B$2:$B$19,'chia CN SX'!$C113)</f>
        <v>0</v>
      </c>
      <c r="H113" s="419">
        <f>SUMIFS(SX!Y$2:Y$19,SX!$B$2:$B$19,'chia CN SX'!$C113)</f>
        <v>0</v>
      </c>
      <c r="I113" s="419">
        <f>SUMIFS(SX!Z$2:Z$19,SX!$B$2:$B$19,'chia CN SX'!$C113)</f>
        <v>0</v>
      </c>
      <c r="J113" s="419">
        <f>SUMIFS(SX!AA$2:AA$19,SX!$B$2:$B$19,'chia CN SX'!$C113)</f>
        <v>0</v>
      </c>
      <c r="K113" s="419">
        <f>SUMIFS(SX!AB$2:AB$19,SX!$B$2:$B$19,'chia CN SX'!$C113)</f>
        <v>0</v>
      </c>
      <c r="L113" s="419">
        <f>SUMIFS(SX!AC$2:AC$19,SX!$B$2:$B$19,'chia CN SX'!$C113)</f>
        <v>0</v>
      </c>
      <c r="M113" s="419">
        <f>SUMIFS(SX!AD$2:AD$19,SX!$B$2:$B$19,'chia CN SX'!$C113)</f>
        <v>0</v>
      </c>
      <c r="N113" s="419">
        <f>SUMIFS(SX!AE$2:AE$19,SX!$B$2:$B$19,'chia CN SX'!$C113)</f>
        <v>0</v>
      </c>
      <c r="O113" s="419">
        <f>SUMIFS(SX!AF$2:AF$19,SX!$B$2:$B$19,'chia CN SX'!$C113)</f>
        <v>0</v>
      </c>
      <c r="P113" s="419">
        <f>SUMIFS(SX!AG$2:AG$19,SX!$B$2:$B$19,'chia CN SX'!$C113)</f>
        <v>0</v>
      </c>
      <c r="Q113" s="419">
        <f>SUMIFS(SX!AH$2:AH$19,SX!$B$2:$B$19,'chia CN SX'!$C113)</f>
        <v>0</v>
      </c>
      <c r="R113" s="419">
        <f>SUMIFS(SX!AI$2:AI$19,SX!$B$2:$B$19,'chia CN SX'!$C113)</f>
        <v>0</v>
      </c>
      <c r="S113" s="419">
        <f>SUMIFS(SX!AJ$2:AJ$19,SX!$B$2:$B$19,'chia CN SX'!$C113)</f>
        <v>0</v>
      </c>
    </row>
    <row r="114" spans="1:19">
      <c r="A114" s="421">
        <f t="shared" si="51"/>
        <v>112</v>
      </c>
      <c r="B114" s="331"/>
      <c r="C114" s="35"/>
      <c r="D114" s="419">
        <f>SUMIFS(SX!U$2:U$19,SX!$B$2:$B$19,'chia CN SX'!$C114)</f>
        <v>0</v>
      </c>
      <c r="E114" s="419">
        <f>SUMIFS(SX!V$2:V$19,SX!$B$2:$B$19,'chia CN SX'!$C114)</f>
        <v>0</v>
      </c>
      <c r="F114" s="419">
        <f>SUMIFS(SX!W$2:W$19,SX!$B$2:$B$19,'chia CN SX'!$C114)</f>
        <v>0</v>
      </c>
      <c r="G114" s="419">
        <f>SUMIFS(SX!X$2:X$19,SX!$B$2:$B$19,'chia CN SX'!$C114)</f>
        <v>0</v>
      </c>
      <c r="H114" s="419">
        <f>SUMIFS(SX!Y$2:Y$19,SX!$B$2:$B$19,'chia CN SX'!$C114)</f>
        <v>0</v>
      </c>
      <c r="I114" s="419">
        <f>SUMIFS(SX!Z$2:Z$19,SX!$B$2:$B$19,'chia CN SX'!$C114)</f>
        <v>0</v>
      </c>
      <c r="J114" s="419">
        <f>SUMIFS(SX!AA$2:AA$19,SX!$B$2:$B$19,'chia CN SX'!$C114)</f>
        <v>0</v>
      </c>
      <c r="K114" s="419">
        <f>SUMIFS(SX!AB$2:AB$19,SX!$B$2:$B$19,'chia CN SX'!$C114)</f>
        <v>0</v>
      </c>
      <c r="L114" s="419">
        <f>SUMIFS(SX!AC$2:AC$19,SX!$B$2:$B$19,'chia CN SX'!$C114)</f>
        <v>0</v>
      </c>
      <c r="M114" s="419">
        <f>SUMIFS(SX!AD$2:AD$19,SX!$B$2:$B$19,'chia CN SX'!$C114)</f>
        <v>0</v>
      </c>
      <c r="N114" s="419">
        <f>SUMIFS(SX!AE$2:AE$19,SX!$B$2:$B$19,'chia CN SX'!$C114)</f>
        <v>0</v>
      </c>
      <c r="O114" s="419">
        <f>SUMIFS(SX!AF$2:AF$19,SX!$B$2:$B$19,'chia CN SX'!$C114)</f>
        <v>0</v>
      </c>
      <c r="P114" s="419">
        <f>SUMIFS(SX!AG$2:AG$19,SX!$B$2:$B$19,'chia CN SX'!$C114)</f>
        <v>0</v>
      </c>
      <c r="Q114" s="419">
        <f>SUMIFS(SX!AH$2:AH$19,SX!$B$2:$B$19,'chia CN SX'!$C114)</f>
        <v>0</v>
      </c>
      <c r="R114" s="419">
        <f>SUMIFS(SX!AI$2:AI$19,SX!$B$2:$B$19,'chia CN SX'!$C114)</f>
        <v>0</v>
      </c>
      <c r="S114" s="419">
        <f>SUMIFS(SX!AJ$2:AJ$19,SX!$B$2:$B$19,'chia CN SX'!$C114)</f>
        <v>0</v>
      </c>
    </row>
  </sheetData>
  <dataValidations count="1">
    <dataValidation type="list" allowBlank="1" showInputMessage="1" showErrorMessage="1" sqref="B115:B1048576">
      <formula1>$C$6:$C$66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'1'!$C$6:$C$15</xm:f>
          </x14:formula1>
          <xm:sqref>B1:B2</xm:sqref>
        </x14:dataValidation>
        <x14:dataValidation type="list" allowBlank="1" showInputMessage="1" showErrorMessage="1">
          <x14:formula1>
            <xm:f>'1'!$C$6:$C$51</xm:f>
          </x14:formula1>
          <xm:sqref>B3:B12</xm:sqref>
        </x14:dataValidation>
        <x14:dataValidation type="list" allowBlank="1" showInputMessage="1" showErrorMessage="1">
          <x14:formula1>
            <xm:f>'1'!$C$6:$C$51</xm:f>
          </x14:formula1>
          <xm:sqref>B16:B115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N19"/>
  <sheetViews>
    <sheetView workbookViewId="0">
      <pane xSplit="3" ySplit="1" topLeftCell="D2" activePane="bottomRight" state="frozen"/>
      <selection activeCell="R40" sqref="R40"/>
      <selection pane="topRight" activeCell="R40" sqref="R40"/>
      <selection pane="bottomLeft" activeCell="R40" sqref="R40"/>
      <selection pane="bottomRight" activeCell="I2" sqref="I2"/>
    </sheetView>
  </sheetViews>
  <sheetFormatPr defaultRowHeight="14.4"/>
  <cols>
    <col min="1" max="1" width="4.44140625" customWidth="1"/>
    <col min="2" max="2" width="5.109375" customWidth="1"/>
    <col min="3" max="3" width="12.33203125" hidden="1" customWidth="1"/>
    <col min="4" max="4" width="12.88671875" bestFit="1" customWidth="1"/>
    <col min="5" max="5" width="5" bestFit="1" customWidth="1"/>
    <col min="6" max="7" width="4.44140625" customWidth="1"/>
    <col min="8" max="8" width="5.88671875" customWidth="1"/>
    <col min="9" max="9" width="8.33203125" customWidth="1"/>
    <col min="10" max="12" width="5.6640625" customWidth="1"/>
    <col min="13" max="13" width="3.6640625" customWidth="1"/>
    <col min="14" max="14" width="10.5546875" bestFit="1" customWidth="1"/>
  </cols>
  <sheetData>
    <row r="1" spans="1:14" s="58" customFormat="1" ht="87" customHeight="1">
      <c r="A1" s="62" t="s">
        <v>309</v>
      </c>
      <c r="B1" s="62" t="s">
        <v>307</v>
      </c>
      <c r="C1" s="62"/>
      <c r="D1" s="59" t="s">
        <v>314</v>
      </c>
      <c r="E1" s="59" t="s">
        <v>315</v>
      </c>
      <c r="F1" s="59" t="s">
        <v>397</v>
      </c>
      <c r="G1" s="59" t="s">
        <v>398</v>
      </c>
      <c r="H1" s="57" t="s">
        <v>306</v>
      </c>
      <c r="I1" s="59" t="s">
        <v>314</v>
      </c>
      <c r="J1" s="59" t="s">
        <v>315</v>
      </c>
      <c r="K1" s="59" t="s">
        <v>397</v>
      </c>
      <c r="L1" s="59" t="s">
        <v>398</v>
      </c>
      <c r="M1" s="60"/>
    </row>
    <row r="2" spans="1:14">
      <c r="A2" s="35">
        <v>1</v>
      </c>
      <c r="B2" s="35">
        <v>1</v>
      </c>
      <c r="C2" s="35"/>
      <c r="D2" s="255">
        <v>34740</v>
      </c>
      <c r="E2" s="3"/>
      <c r="F2" s="3"/>
      <c r="G2" s="3"/>
      <c r="H2" s="56">
        <v>2</v>
      </c>
      <c r="I2" s="22">
        <f t="shared" ref="I2:I19" si="0">D2/$H2</f>
        <v>17370</v>
      </c>
      <c r="J2" s="22">
        <f t="shared" ref="J2:J19" si="1">E2/$H2</f>
        <v>0</v>
      </c>
      <c r="K2" s="22">
        <f t="shared" ref="K2:K19" si="2">F2/$H2</f>
        <v>0</v>
      </c>
      <c r="L2" s="117"/>
      <c r="M2" s="61"/>
    </row>
    <row r="3" spans="1:14">
      <c r="A3" s="35">
        <v>2</v>
      </c>
      <c r="B3" s="35">
        <v>2</v>
      </c>
      <c r="C3" s="35"/>
      <c r="D3" s="255"/>
      <c r="E3" s="3"/>
      <c r="F3" s="3"/>
      <c r="G3" s="3"/>
      <c r="H3" s="56"/>
      <c r="I3" s="22" t="e">
        <f t="shared" si="0"/>
        <v>#DIV/0!</v>
      </c>
      <c r="J3" s="22" t="e">
        <f t="shared" si="1"/>
        <v>#DIV/0!</v>
      </c>
      <c r="K3" s="22" t="e">
        <f t="shared" si="2"/>
        <v>#DIV/0!</v>
      </c>
      <c r="L3" s="117"/>
      <c r="M3" s="61"/>
    </row>
    <row r="4" spans="1:14" s="64" customFormat="1">
      <c r="A4" s="63">
        <v>3</v>
      </c>
      <c r="B4" s="35">
        <v>3</v>
      </c>
      <c r="C4" s="63"/>
      <c r="D4" s="255"/>
      <c r="E4" s="3"/>
      <c r="F4" s="3"/>
      <c r="G4" s="3"/>
      <c r="H4" s="56"/>
      <c r="I4" s="22" t="e">
        <f t="shared" si="0"/>
        <v>#DIV/0!</v>
      </c>
      <c r="J4" s="22" t="e">
        <f t="shared" si="1"/>
        <v>#DIV/0!</v>
      </c>
      <c r="K4" s="22" t="e">
        <f t="shared" si="2"/>
        <v>#DIV/0!</v>
      </c>
      <c r="L4" s="117"/>
      <c r="M4" s="61"/>
      <c r="N4" s="258"/>
    </row>
    <row r="5" spans="1:14">
      <c r="A5" s="35">
        <v>4</v>
      </c>
      <c r="B5" s="35">
        <v>4</v>
      </c>
      <c r="C5" s="35"/>
      <c r="D5" s="256"/>
      <c r="E5" s="3"/>
      <c r="F5" s="3"/>
      <c r="G5" s="3"/>
      <c r="H5" s="56"/>
      <c r="I5" s="22" t="e">
        <f t="shared" si="0"/>
        <v>#DIV/0!</v>
      </c>
      <c r="J5" s="22" t="e">
        <f t="shared" si="1"/>
        <v>#DIV/0!</v>
      </c>
      <c r="K5" s="22" t="e">
        <f t="shared" si="2"/>
        <v>#DIV/0!</v>
      </c>
      <c r="L5" s="117"/>
      <c r="M5" s="61"/>
    </row>
    <row r="6" spans="1:14">
      <c r="A6" s="35">
        <v>5</v>
      </c>
      <c r="B6" s="35">
        <v>5</v>
      </c>
      <c r="C6" s="35"/>
      <c r="D6" s="3"/>
      <c r="E6" s="3"/>
      <c r="F6" s="3"/>
      <c r="G6" s="3"/>
      <c r="H6" s="56"/>
      <c r="I6" s="22" t="e">
        <f t="shared" si="0"/>
        <v>#DIV/0!</v>
      </c>
      <c r="J6" s="22" t="e">
        <f t="shared" si="1"/>
        <v>#DIV/0!</v>
      </c>
      <c r="K6" s="22" t="e">
        <f t="shared" si="2"/>
        <v>#DIV/0!</v>
      </c>
      <c r="L6" s="117"/>
      <c r="M6" s="61"/>
    </row>
    <row r="7" spans="1:14">
      <c r="A7" s="35">
        <v>6</v>
      </c>
      <c r="B7" s="35">
        <v>6</v>
      </c>
      <c r="C7" s="35"/>
      <c r="D7" s="3"/>
      <c r="E7" s="3"/>
      <c r="F7" s="3"/>
      <c r="G7" s="3"/>
      <c r="H7" s="56"/>
      <c r="I7" s="22" t="e">
        <f t="shared" si="0"/>
        <v>#DIV/0!</v>
      </c>
      <c r="J7" s="22" t="e">
        <f t="shared" si="1"/>
        <v>#DIV/0!</v>
      </c>
      <c r="K7" s="22" t="e">
        <f t="shared" si="2"/>
        <v>#DIV/0!</v>
      </c>
      <c r="L7" s="117"/>
      <c r="M7" s="61"/>
    </row>
    <row r="8" spans="1:14">
      <c r="A8" s="35">
        <v>7</v>
      </c>
      <c r="B8" s="35">
        <v>7</v>
      </c>
      <c r="C8" s="35"/>
      <c r="D8" s="3"/>
      <c r="E8" s="3"/>
      <c r="F8" s="3"/>
      <c r="G8" s="3"/>
      <c r="H8" s="56"/>
      <c r="I8" s="22" t="e">
        <f t="shared" si="0"/>
        <v>#DIV/0!</v>
      </c>
      <c r="J8" s="22" t="e">
        <f t="shared" si="1"/>
        <v>#DIV/0!</v>
      </c>
      <c r="K8" s="22" t="e">
        <f t="shared" si="2"/>
        <v>#DIV/0!</v>
      </c>
      <c r="L8" s="117"/>
      <c r="M8" s="61"/>
    </row>
    <row r="9" spans="1:14">
      <c r="A9" s="35">
        <v>8</v>
      </c>
      <c r="B9" s="35">
        <v>8</v>
      </c>
      <c r="C9" s="35"/>
      <c r="D9" s="3"/>
      <c r="E9" s="3"/>
      <c r="F9" s="3"/>
      <c r="G9" s="3"/>
      <c r="H9" s="56"/>
      <c r="I9" s="22" t="e">
        <f t="shared" si="0"/>
        <v>#DIV/0!</v>
      </c>
      <c r="J9" s="22" t="e">
        <f t="shared" si="1"/>
        <v>#DIV/0!</v>
      </c>
      <c r="K9" s="22" t="e">
        <f t="shared" si="2"/>
        <v>#DIV/0!</v>
      </c>
      <c r="L9" s="117"/>
      <c r="M9" s="61"/>
    </row>
    <row r="10" spans="1:14">
      <c r="A10" s="35">
        <v>9</v>
      </c>
      <c r="B10" s="35">
        <v>9</v>
      </c>
      <c r="C10" s="35"/>
      <c r="D10" s="3"/>
      <c r="E10" s="3"/>
      <c r="F10" s="3"/>
      <c r="G10" s="3"/>
      <c r="H10" s="56"/>
      <c r="I10" s="22" t="e">
        <f t="shared" si="0"/>
        <v>#DIV/0!</v>
      </c>
      <c r="J10" s="22" t="e">
        <f t="shared" si="1"/>
        <v>#DIV/0!</v>
      </c>
      <c r="K10" s="22" t="e">
        <f t="shared" si="2"/>
        <v>#DIV/0!</v>
      </c>
      <c r="L10" s="117"/>
      <c r="M10" s="61"/>
    </row>
    <row r="11" spans="1:14">
      <c r="A11" s="35">
        <v>10</v>
      </c>
      <c r="B11" s="35">
        <v>10</v>
      </c>
      <c r="C11" s="35"/>
      <c r="D11" s="3"/>
      <c r="E11" s="3"/>
      <c r="F11" s="3"/>
      <c r="G11" s="3"/>
      <c r="H11" s="56"/>
      <c r="I11" s="22" t="e">
        <f t="shared" si="0"/>
        <v>#DIV/0!</v>
      </c>
      <c r="J11" s="22" t="e">
        <f t="shared" si="1"/>
        <v>#DIV/0!</v>
      </c>
      <c r="K11" s="22" t="e">
        <f t="shared" si="2"/>
        <v>#DIV/0!</v>
      </c>
      <c r="L11" s="117"/>
      <c r="M11" s="61"/>
    </row>
    <row r="12" spans="1:14">
      <c r="A12" s="35">
        <v>11</v>
      </c>
      <c r="B12" s="35">
        <v>11</v>
      </c>
      <c r="C12" s="35"/>
      <c r="D12" s="3"/>
      <c r="E12" s="3"/>
      <c r="F12" s="3"/>
      <c r="G12" s="3"/>
      <c r="H12" s="56"/>
      <c r="I12" s="22" t="e">
        <f t="shared" si="0"/>
        <v>#DIV/0!</v>
      </c>
      <c r="J12" s="22" t="e">
        <f t="shared" si="1"/>
        <v>#DIV/0!</v>
      </c>
      <c r="K12" s="22" t="e">
        <f t="shared" si="2"/>
        <v>#DIV/0!</v>
      </c>
      <c r="L12" s="117"/>
      <c r="M12" s="61"/>
    </row>
    <row r="13" spans="1:14">
      <c r="A13" s="35">
        <v>12</v>
      </c>
      <c r="B13" s="35">
        <v>12</v>
      </c>
      <c r="C13" s="35"/>
      <c r="D13" s="3"/>
      <c r="E13" s="3"/>
      <c r="F13" s="3"/>
      <c r="G13" s="3"/>
      <c r="H13" s="56"/>
      <c r="I13" s="22" t="e">
        <f t="shared" si="0"/>
        <v>#DIV/0!</v>
      </c>
      <c r="J13" s="22" t="e">
        <f t="shared" si="1"/>
        <v>#DIV/0!</v>
      </c>
      <c r="K13" s="22" t="e">
        <f t="shared" si="2"/>
        <v>#DIV/0!</v>
      </c>
      <c r="L13" s="117"/>
      <c r="M13" s="61"/>
    </row>
    <row r="14" spans="1:14">
      <c r="A14" s="35">
        <v>13</v>
      </c>
      <c r="B14" s="35">
        <v>13</v>
      </c>
      <c r="C14" s="35"/>
      <c r="D14" s="3"/>
      <c r="E14" s="3"/>
      <c r="F14" s="3"/>
      <c r="G14" s="3"/>
      <c r="H14" s="56"/>
      <c r="I14" s="22" t="e">
        <f t="shared" si="0"/>
        <v>#DIV/0!</v>
      </c>
      <c r="J14" s="22" t="e">
        <f t="shared" si="1"/>
        <v>#DIV/0!</v>
      </c>
      <c r="K14" s="22" t="e">
        <f t="shared" si="2"/>
        <v>#DIV/0!</v>
      </c>
      <c r="L14" s="117"/>
      <c r="M14" s="61"/>
    </row>
    <row r="15" spans="1:14">
      <c r="A15" s="35">
        <v>14</v>
      </c>
      <c r="B15" s="35">
        <v>14</v>
      </c>
      <c r="C15" s="35"/>
      <c r="D15" s="3"/>
      <c r="E15" s="3"/>
      <c r="F15" s="3"/>
      <c r="G15" s="3"/>
      <c r="H15" s="56"/>
      <c r="I15" s="22" t="e">
        <f t="shared" si="0"/>
        <v>#DIV/0!</v>
      </c>
      <c r="J15" s="22" t="e">
        <f t="shared" si="1"/>
        <v>#DIV/0!</v>
      </c>
      <c r="K15" s="22" t="e">
        <f t="shared" si="2"/>
        <v>#DIV/0!</v>
      </c>
      <c r="L15" s="117"/>
      <c r="M15" s="61"/>
    </row>
    <row r="16" spans="1:14">
      <c r="A16" s="35">
        <v>15</v>
      </c>
      <c r="B16" s="35">
        <v>15</v>
      </c>
      <c r="C16" s="35"/>
      <c r="D16" s="3"/>
      <c r="E16" s="3"/>
      <c r="F16" s="3"/>
      <c r="G16" s="3"/>
      <c r="H16" s="56"/>
      <c r="I16" s="22" t="e">
        <f t="shared" si="0"/>
        <v>#DIV/0!</v>
      </c>
      <c r="J16" s="22" t="e">
        <f t="shared" si="1"/>
        <v>#DIV/0!</v>
      </c>
      <c r="K16" s="22" t="e">
        <f t="shared" si="2"/>
        <v>#DIV/0!</v>
      </c>
      <c r="L16" s="117"/>
      <c r="M16" s="61"/>
    </row>
    <row r="17" spans="1:13">
      <c r="A17" s="35">
        <v>16</v>
      </c>
      <c r="B17" s="35">
        <v>16</v>
      </c>
      <c r="C17" s="35"/>
      <c r="D17" s="3"/>
      <c r="E17" s="3"/>
      <c r="F17" s="3"/>
      <c r="G17" s="3"/>
      <c r="H17" s="56"/>
      <c r="I17" s="22" t="e">
        <f t="shared" si="0"/>
        <v>#DIV/0!</v>
      </c>
      <c r="J17" s="22" t="e">
        <f t="shared" si="1"/>
        <v>#DIV/0!</v>
      </c>
      <c r="K17" s="22" t="e">
        <f t="shared" si="2"/>
        <v>#DIV/0!</v>
      </c>
      <c r="L17" s="117"/>
      <c r="M17" s="61"/>
    </row>
    <row r="18" spans="1:13">
      <c r="A18" s="35">
        <v>17</v>
      </c>
      <c r="B18" s="35"/>
      <c r="C18" s="35"/>
      <c r="D18" s="3"/>
      <c r="E18" s="3"/>
      <c r="F18" s="3"/>
      <c r="G18" s="3"/>
      <c r="H18" s="56"/>
      <c r="I18" s="22" t="e">
        <f t="shared" si="0"/>
        <v>#DIV/0!</v>
      </c>
      <c r="J18" s="22" t="e">
        <f t="shared" si="1"/>
        <v>#DIV/0!</v>
      </c>
      <c r="K18" s="22" t="e">
        <f t="shared" si="2"/>
        <v>#DIV/0!</v>
      </c>
      <c r="L18" s="117"/>
      <c r="M18" s="61"/>
    </row>
    <row r="19" spans="1:13">
      <c r="A19" s="35">
        <v>18</v>
      </c>
      <c r="B19" s="35"/>
      <c r="C19" s="35"/>
      <c r="D19" s="3"/>
      <c r="E19" s="3"/>
      <c r="F19" s="3"/>
      <c r="G19" s="3"/>
      <c r="H19" s="56"/>
      <c r="I19" s="22" t="e">
        <f t="shared" si="0"/>
        <v>#DIV/0!</v>
      </c>
      <c r="J19" s="22" t="e">
        <f t="shared" si="1"/>
        <v>#DIV/0!</v>
      </c>
      <c r="K19" s="22" t="e">
        <f t="shared" si="2"/>
        <v>#DIV/0!</v>
      </c>
      <c r="L19" s="117"/>
      <c r="M19" s="61"/>
    </row>
  </sheetData>
  <pageMargins left="0.7" right="0.7" top="0.75" bottom="0.75" header="0.3" footer="0.3"/>
  <pageSetup paperSize="9"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2:M169"/>
  <sheetViews>
    <sheetView workbookViewId="0">
      <selection activeCell="I63" sqref="I63"/>
    </sheetView>
  </sheetViews>
  <sheetFormatPr defaultRowHeight="14.4"/>
  <cols>
    <col min="2" max="2" width="19.88671875" customWidth="1"/>
    <col min="3" max="3" width="9.44140625" bestFit="1" customWidth="1"/>
    <col min="4" max="4" width="7.6640625" bestFit="1" customWidth="1"/>
    <col min="5" max="6" width="5.109375" bestFit="1" customWidth="1"/>
    <col min="9" max="9" width="21.109375" customWidth="1"/>
    <col min="10" max="10" width="7.6640625" bestFit="1" customWidth="1"/>
    <col min="11" max="12" width="5.109375" bestFit="1" customWidth="1"/>
  </cols>
  <sheetData>
    <row r="2" spans="1:13" ht="61.5" customHeight="1">
      <c r="A2" s="35"/>
      <c r="B2" s="35" t="s">
        <v>311</v>
      </c>
      <c r="C2" s="35" t="s">
        <v>310</v>
      </c>
      <c r="D2" s="59" t="str">
        <f>XLBH!I1</f>
        <v>Bùn Bình Hưng</v>
      </c>
      <c r="E2" s="59" t="str">
        <f>XLBH!J1</f>
        <v>Bùn Bình Hưng Hòa</v>
      </c>
      <c r="F2" s="59" t="str">
        <f>XLBH!K1</f>
        <v>Bùn Bình TH-LG</v>
      </c>
      <c r="I2" s="68"/>
      <c r="J2" s="59" t="str">
        <f>D2</f>
        <v>Bùn Bình Hưng</v>
      </c>
      <c r="K2" s="59" t="str">
        <f>E2</f>
        <v>Bùn Bình Hưng Hòa</v>
      </c>
      <c r="L2" s="59" t="str">
        <f>F2</f>
        <v>Bùn Bình TH-LG</v>
      </c>
    </row>
    <row r="3" spans="1:13">
      <c r="A3" s="35">
        <v>1</v>
      </c>
      <c r="B3" s="195" t="s">
        <v>75</v>
      </c>
      <c r="C3" s="35">
        <v>1</v>
      </c>
      <c r="D3" s="419">
        <f>SUMIFS(XLBH!I$2:I$19,XLBH!$B$2:$B$19,'chia CN XLBH'!$C3)</f>
        <v>17370</v>
      </c>
      <c r="E3" s="22">
        <f>SUMIFS(XLBH!J$2:J$19,XLBH!$B$2:$B$19,'chia CN XLBH'!$C3)</f>
        <v>0</v>
      </c>
      <c r="F3" s="22">
        <f>SUMIFS(XLBH!K$2:K$19,XLBH!$B$2:$B$19,'chia CN XLBH'!$C3)</f>
        <v>0</v>
      </c>
      <c r="I3" s="67" t="e">
        <f>'chia CN SX'!V3</f>
        <v>#REF!</v>
      </c>
      <c r="J3" s="69">
        <f t="shared" ref="J3:J18" si="0">SUMIF($B$3:$B$169,$I3,D$3:D$169)</f>
        <v>0</v>
      </c>
      <c r="K3" s="69">
        <f t="shared" ref="K3:K18" si="1">SUMIF($B$3:$B$169,$I3,E$3:E$169)</f>
        <v>0</v>
      </c>
      <c r="L3" s="69">
        <f t="shared" ref="L3:L18" si="2">SUMIF($B$3:$B$169,$I3,F$3:F$169)</f>
        <v>0</v>
      </c>
    </row>
    <row r="4" spans="1:13">
      <c r="A4" s="35">
        <v>2</v>
      </c>
      <c r="B4" s="421" t="s">
        <v>77</v>
      </c>
      <c r="C4" s="421">
        <v>1</v>
      </c>
      <c r="D4" s="419">
        <f>SUMIFS(XLBH!I$2:I$19,XLBH!$B$2:$B$19,'chia CN XLBH'!$C4)</f>
        <v>17370</v>
      </c>
      <c r="E4" s="22">
        <f>SUMIFS(XLBH!J$2:J$19,XLBH!$B$2:$B$19,'chia CN XLBH'!$C4)</f>
        <v>0</v>
      </c>
      <c r="F4" s="22">
        <f>SUMIFS(XLBH!K$2:K$19,XLBH!$B$2:$B$19,'chia CN XLBH'!$C4)</f>
        <v>0</v>
      </c>
      <c r="I4" s="67" t="e">
        <f>'chia CN SX'!V4</f>
        <v>#REF!</v>
      </c>
      <c r="J4" s="69">
        <f t="shared" si="0"/>
        <v>0</v>
      </c>
      <c r="K4" s="69">
        <f t="shared" si="1"/>
        <v>0</v>
      </c>
      <c r="L4" s="69">
        <f t="shared" si="2"/>
        <v>0</v>
      </c>
    </row>
    <row r="5" spans="1:13">
      <c r="A5" s="35">
        <v>3</v>
      </c>
      <c r="B5" s="195"/>
      <c r="C5" s="421"/>
      <c r="D5" s="419">
        <f>SUMIFS(XLBH!I$2:I$19,XLBH!$B$2:$B$19,'chia CN XLBH'!$C5)</f>
        <v>0</v>
      </c>
      <c r="E5" s="22">
        <f>SUMIFS(XLBH!J$2:J$19,XLBH!$B$2:$B$19,'chia CN XLBH'!$C5)</f>
        <v>0</v>
      </c>
      <c r="F5" s="22">
        <f>SUMIFS(XLBH!K$2:K$19,XLBH!$B$2:$B$19,'chia CN XLBH'!$C5)</f>
        <v>0</v>
      </c>
      <c r="I5" s="67" t="e">
        <f>'chia CN SX'!V5</f>
        <v>#REF!</v>
      </c>
      <c r="J5" s="69">
        <f t="shared" si="0"/>
        <v>0</v>
      </c>
      <c r="K5" s="69">
        <f t="shared" si="1"/>
        <v>0</v>
      </c>
      <c r="L5" s="69">
        <f t="shared" si="2"/>
        <v>0</v>
      </c>
    </row>
    <row r="6" spans="1:13">
      <c r="A6" s="35">
        <v>4</v>
      </c>
      <c r="B6" s="421"/>
      <c r="C6" s="421"/>
      <c r="D6" s="419">
        <f>SUMIFS(XLBH!I$2:I$19,XLBH!$B$2:$B$19,'chia CN XLBH'!$C6)</f>
        <v>0</v>
      </c>
      <c r="E6" s="22">
        <f>SUMIFS(XLBH!J$2:J$19,XLBH!$B$2:$B$19,'chia CN XLBH'!$C6)</f>
        <v>0</v>
      </c>
      <c r="F6" s="22">
        <f>SUMIFS(XLBH!K$2:K$19,XLBH!$B$2:$B$19,'chia CN XLBH'!$C6)</f>
        <v>0</v>
      </c>
      <c r="I6" s="67" t="str">
        <f>'chia CN SX'!V6</f>
        <v>Lê Tấn Phát</v>
      </c>
      <c r="J6" s="69">
        <f t="shared" si="0"/>
        <v>0</v>
      </c>
      <c r="K6" s="69">
        <f t="shared" si="1"/>
        <v>0</v>
      </c>
      <c r="L6" s="69">
        <f t="shared" si="2"/>
        <v>0</v>
      </c>
    </row>
    <row r="7" spans="1:13">
      <c r="A7" s="35">
        <v>5</v>
      </c>
      <c r="B7" s="421"/>
      <c r="C7" s="421"/>
      <c r="D7" s="419">
        <f>SUMIFS(XLBH!I$2:I$19,XLBH!$B$2:$B$19,'chia CN XLBH'!$C7)</f>
        <v>0</v>
      </c>
      <c r="E7" s="22">
        <f>SUMIFS(XLBH!J$2:J$19,XLBH!$B$2:$B$19,'chia CN XLBH'!$C7)</f>
        <v>0</v>
      </c>
      <c r="F7" s="22">
        <f>SUMIFS(XLBH!K$2:K$19,XLBH!$B$2:$B$19,'chia CN XLBH'!$C7)</f>
        <v>0</v>
      </c>
      <c r="I7" s="67" t="str">
        <f>'chia CN SX'!V7</f>
        <v>Triệu Minh Tú</v>
      </c>
      <c r="J7" s="69">
        <f t="shared" si="0"/>
        <v>0</v>
      </c>
      <c r="K7" s="69">
        <f t="shared" si="1"/>
        <v>0</v>
      </c>
      <c r="L7" s="69">
        <f t="shared" si="2"/>
        <v>0</v>
      </c>
    </row>
    <row r="8" spans="1:13">
      <c r="A8" s="35">
        <v>6</v>
      </c>
      <c r="B8" s="35"/>
      <c r="C8" s="421"/>
      <c r="D8" s="419">
        <f>SUMIFS(XLBH!I$2:I$19,XLBH!$B$2:$B$19,'chia CN XLBH'!$C8)</f>
        <v>0</v>
      </c>
      <c r="E8" s="22">
        <f>SUMIFS(XLBH!J$2:J$19,XLBH!$B$2:$B$19,'chia CN XLBH'!$C8)</f>
        <v>0</v>
      </c>
      <c r="F8" s="22">
        <f>SUMIFS(XLBH!K$2:K$19,XLBH!$B$2:$B$19,'chia CN XLBH'!$C8)</f>
        <v>0</v>
      </c>
      <c r="I8" s="67" t="e">
        <f>'chia CN SX'!V8</f>
        <v>#REF!</v>
      </c>
      <c r="J8" s="69">
        <f t="shared" si="0"/>
        <v>0</v>
      </c>
      <c r="K8" s="69">
        <f t="shared" si="1"/>
        <v>0</v>
      </c>
      <c r="L8" s="69">
        <f t="shared" si="2"/>
        <v>0</v>
      </c>
      <c r="M8">
        <v>1734</v>
      </c>
    </row>
    <row r="9" spans="1:13">
      <c r="A9" s="35">
        <v>7</v>
      </c>
      <c r="B9" s="35"/>
      <c r="C9" s="421"/>
      <c r="D9" s="22">
        <f>SUMIFS(XLBH!I$2:I$19,XLBH!$B$2:$B$19,'chia CN XLBH'!$C9)</f>
        <v>0</v>
      </c>
      <c r="E9" s="22">
        <f>SUMIFS(XLBH!J$2:J$19,XLBH!$B$2:$B$19,'chia CN XLBH'!$C9)</f>
        <v>0</v>
      </c>
      <c r="F9" s="22">
        <f>SUMIFS(XLBH!K$2:K$19,XLBH!$B$2:$B$19,'chia CN XLBH'!$C9)</f>
        <v>0</v>
      </c>
      <c r="I9" s="67" t="str">
        <f>'chia CN SX'!V9</f>
        <v>Thạch Giàu</v>
      </c>
      <c r="J9" s="69">
        <f t="shared" si="0"/>
        <v>17370</v>
      </c>
      <c r="K9" s="69">
        <f t="shared" si="1"/>
        <v>0</v>
      </c>
      <c r="L9" s="69">
        <f t="shared" si="2"/>
        <v>0</v>
      </c>
    </row>
    <row r="10" spans="1:13">
      <c r="A10" s="35">
        <v>9</v>
      </c>
      <c r="B10" s="35"/>
      <c r="C10" s="421"/>
      <c r="D10" s="22">
        <f>SUMIFS(XLBH!I$2:I$19,XLBH!$B$2:$B$19,'chia CN XLBH'!$C10)</f>
        <v>0</v>
      </c>
      <c r="E10" s="22">
        <f>SUMIFS(XLBH!J$2:J$19,XLBH!$B$2:$B$19,'chia CN XLBH'!$C10)</f>
        <v>0</v>
      </c>
      <c r="F10" s="22">
        <f>SUMIFS(XLBH!K$2:K$19,XLBH!$B$2:$B$19,'chia CN XLBH'!$C10)</f>
        <v>0</v>
      </c>
      <c r="I10" s="67" t="e">
        <f>'chia CN SX'!V10</f>
        <v>#REF!</v>
      </c>
      <c r="J10" s="69">
        <f t="shared" si="0"/>
        <v>0</v>
      </c>
      <c r="K10" s="69">
        <f t="shared" si="1"/>
        <v>0</v>
      </c>
      <c r="L10" s="69">
        <f t="shared" si="2"/>
        <v>0</v>
      </c>
    </row>
    <row r="11" spans="1:13">
      <c r="A11" s="35">
        <v>10</v>
      </c>
      <c r="B11" s="35"/>
      <c r="C11" s="421"/>
      <c r="D11" s="22">
        <f>SUMIFS(XLBH!I$2:I$19,XLBH!$B$2:$B$19,'chia CN XLBH'!$C11)</f>
        <v>0</v>
      </c>
      <c r="E11" s="22">
        <f>SUMIFS(XLBH!J$2:J$19,XLBH!$B$2:$B$19,'chia CN XLBH'!$C11)</f>
        <v>0</v>
      </c>
      <c r="F11" s="22">
        <f>SUMIFS(XLBH!K$2:K$19,XLBH!$B$2:$B$19,'chia CN XLBH'!$C11)</f>
        <v>0</v>
      </c>
      <c r="I11" s="67" t="str">
        <f>'chia CN SX'!V11</f>
        <v>Trần Thanh Hậu</v>
      </c>
      <c r="J11" s="69">
        <f t="shared" si="0"/>
        <v>17370</v>
      </c>
      <c r="K11" s="69">
        <f t="shared" si="1"/>
        <v>0</v>
      </c>
      <c r="L11" s="69">
        <f t="shared" si="2"/>
        <v>0</v>
      </c>
    </row>
    <row r="12" spans="1:13">
      <c r="A12" s="35">
        <v>11</v>
      </c>
      <c r="B12" s="35"/>
      <c r="C12" s="421"/>
      <c r="D12" s="22">
        <f>SUMIFS(XLBH!I$2:I$19,XLBH!$B$2:$B$19,'chia CN XLBH'!$C12)</f>
        <v>0</v>
      </c>
      <c r="E12" s="22">
        <f>SUMIFS(XLBH!J$2:J$19,XLBH!$B$2:$B$19,'chia CN XLBH'!$C12)</f>
        <v>0</v>
      </c>
      <c r="F12" s="22">
        <f>SUMIFS(XLBH!K$2:K$19,XLBH!$B$2:$B$19,'chia CN XLBH'!$C12)</f>
        <v>0</v>
      </c>
      <c r="I12" s="67" t="e">
        <f>'chia CN SX'!V12</f>
        <v>#REF!</v>
      </c>
      <c r="J12" s="69">
        <f t="shared" si="0"/>
        <v>0</v>
      </c>
      <c r="K12" s="69">
        <f t="shared" si="1"/>
        <v>0</v>
      </c>
      <c r="L12" s="69">
        <f t="shared" si="2"/>
        <v>0</v>
      </c>
    </row>
    <row r="13" spans="1:13">
      <c r="A13" s="35">
        <v>12</v>
      </c>
      <c r="B13" s="35"/>
      <c r="C13" s="35"/>
      <c r="D13" s="22">
        <f>SUMIFS(XLBH!I$2:I$19,XLBH!$B$2:$B$19,'chia CN XLBH'!$C13)</f>
        <v>0</v>
      </c>
      <c r="E13" s="22">
        <f>SUMIFS(XLBH!J$2:J$19,XLBH!$B$2:$B$19,'chia CN XLBH'!$C13)</f>
        <v>0</v>
      </c>
      <c r="F13" s="22">
        <f>SUMIFS(XLBH!K$2:K$19,XLBH!$B$2:$B$19,'chia CN XLBH'!$C13)</f>
        <v>0</v>
      </c>
      <c r="I13" s="67" t="str">
        <f>'chia CN SX'!V13</f>
        <v>Châu Thành Nhân</v>
      </c>
      <c r="J13" s="69">
        <f t="shared" si="0"/>
        <v>0</v>
      </c>
      <c r="K13" s="69">
        <f t="shared" si="1"/>
        <v>0</v>
      </c>
      <c r="L13" s="69">
        <f t="shared" si="2"/>
        <v>0</v>
      </c>
    </row>
    <row r="14" spans="1:13">
      <c r="A14" s="35">
        <v>13</v>
      </c>
      <c r="B14" s="35"/>
      <c r="C14" s="35"/>
      <c r="D14" s="22">
        <f>SUMIFS(XLBH!I$2:I$19,XLBH!$B$2:$B$19,'chia CN XLBH'!$C14)</f>
        <v>0</v>
      </c>
      <c r="E14" s="22">
        <f>SUMIFS(XLBH!J$2:J$19,XLBH!$B$2:$B$19,'chia CN XLBH'!$C14)</f>
        <v>0</v>
      </c>
      <c r="F14" s="22">
        <f>SUMIFS(XLBH!K$2:K$19,XLBH!$B$2:$B$19,'chia CN XLBH'!$C14)</f>
        <v>0</v>
      </c>
      <c r="I14" s="67" t="str">
        <f>'chia CN SX'!V14</f>
        <v>Nguyễn Văn Chạy</v>
      </c>
      <c r="J14" s="69">
        <f t="shared" si="0"/>
        <v>0</v>
      </c>
      <c r="K14" s="69">
        <f t="shared" si="1"/>
        <v>0</v>
      </c>
      <c r="L14" s="69">
        <f t="shared" si="2"/>
        <v>0</v>
      </c>
    </row>
    <row r="15" spans="1:13">
      <c r="A15" s="35">
        <v>14</v>
      </c>
      <c r="B15" s="35"/>
      <c r="C15" s="35"/>
      <c r="D15" s="22">
        <f>SUMIFS(XLBH!I$2:I$19,XLBH!$B$2:$B$19,'chia CN XLBH'!$C15)</f>
        <v>0</v>
      </c>
      <c r="E15" s="22">
        <f>SUMIFS(XLBH!J$2:J$19,XLBH!$B$2:$B$19,'chia CN XLBH'!$C15)</f>
        <v>0</v>
      </c>
      <c r="F15" s="22">
        <f>SUMIFS(XLBH!K$2:K$19,XLBH!$B$2:$B$19,'chia CN XLBH'!$C15)</f>
        <v>0</v>
      </c>
      <c r="I15" s="67" t="str">
        <f>'chia CN SX'!V15</f>
        <v>Hà Hoàng Hùng</v>
      </c>
      <c r="J15" s="69">
        <f t="shared" si="0"/>
        <v>0</v>
      </c>
      <c r="K15" s="69">
        <f t="shared" si="1"/>
        <v>0</v>
      </c>
      <c r="L15" s="69">
        <f t="shared" si="2"/>
        <v>0</v>
      </c>
    </row>
    <row r="16" spans="1:13">
      <c r="A16" s="35">
        <v>15</v>
      </c>
      <c r="B16" s="35"/>
      <c r="C16" s="35"/>
      <c r="D16" s="22">
        <f>SUMIFS(XLBH!I$2:I$19,XLBH!$B$2:$B$19,'chia CN XLBH'!$C16)</f>
        <v>0</v>
      </c>
      <c r="E16" s="22">
        <f>SUMIFS(XLBH!J$2:J$19,XLBH!$B$2:$B$19,'chia CN XLBH'!$C16)</f>
        <v>0</v>
      </c>
      <c r="F16" s="22">
        <f>SUMIFS(XLBH!K$2:K$19,XLBH!$B$2:$B$19,'chia CN XLBH'!$C16)</f>
        <v>0</v>
      </c>
      <c r="I16" s="67" t="e">
        <f>'chia CN SX'!V16</f>
        <v>#REF!</v>
      </c>
      <c r="J16" s="69">
        <f t="shared" si="0"/>
        <v>0</v>
      </c>
      <c r="K16" s="69">
        <f t="shared" si="1"/>
        <v>0</v>
      </c>
      <c r="L16" s="69">
        <f t="shared" si="2"/>
        <v>0</v>
      </c>
    </row>
    <row r="17" spans="1:12">
      <c r="A17" s="35"/>
      <c r="B17" s="35"/>
      <c r="C17" s="35"/>
      <c r="D17" s="22"/>
      <c r="E17" s="22"/>
      <c r="F17" s="22"/>
      <c r="I17" s="67" t="str">
        <f>'chia CN SX'!V17</f>
        <v>Châu Văn Phước</v>
      </c>
      <c r="J17" s="69">
        <f t="shared" si="0"/>
        <v>0</v>
      </c>
      <c r="K17" s="69">
        <f t="shared" si="1"/>
        <v>0</v>
      </c>
      <c r="L17" s="69">
        <f t="shared" si="2"/>
        <v>0</v>
      </c>
    </row>
    <row r="18" spans="1:12">
      <c r="A18" s="35">
        <v>16</v>
      </c>
      <c r="B18" s="35"/>
      <c r="C18" s="35"/>
      <c r="D18" s="22">
        <f>SUMIFS(XLBH!I$2:I$19,XLBH!$B$2:$B$19,'chia CN XLBH'!$C18)</f>
        <v>0</v>
      </c>
      <c r="E18" s="22">
        <f>SUMIFS(XLBH!J$2:J$19,XLBH!$B$2:$B$19,'chia CN XLBH'!$C18)</f>
        <v>0</v>
      </c>
      <c r="F18" s="22">
        <f>SUMIFS(XLBH!K$2:K$19,XLBH!$B$2:$B$19,'chia CN XLBH'!$C18)</f>
        <v>0</v>
      </c>
      <c r="I18" s="80" t="e">
        <f>'chia CN SX'!V18</f>
        <v>#REF!</v>
      </c>
      <c r="J18" s="81">
        <f t="shared" si="0"/>
        <v>0</v>
      </c>
      <c r="K18" s="81">
        <f t="shared" si="1"/>
        <v>0</v>
      </c>
      <c r="L18" s="81">
        <f t="shared" si="2"/>
        <v>0</v>
      </c>
    </row>
    <row r="19" spans="1:12">
      <c r="A19" s="421">
        <v>17</v>
      </c>
      <c r="B19" s="421"/>
      <c r="C19" s="421"/>
      <c r="D19" s="419">
        <f>SUMIFS(XLBH!I$2:I$19,XLBH!$B$2:$B$19,'chia CN XLBH'!$C19)</f>
        <v>0</v>
      </c>
      <c r="E19" s="419">
        <f>SUMIFS(XLBH!J$2:J$19,XLBH!$B$2:$B$19,'chia CN XLBH'!$C19)</f>
        <v>0</v>
      </c>
      <c r="F19" s="419">
        <f>SUMIFS(XLBH!K$2:K$19,XLBH!$B$2:$B$19,'chia CN XLBH'!$C19)</f>
        <v>0</v>
      </c>
      <c r="I19" s="80" t="e">
        <f>'chia CN SX'!V19</f>
        <v>#REF!</v>
      </c>
      <c r="J19" s="81">
        <f t="shared" ref="J19:J82" si="3">SUMIF($B$3:$B$169,$I19,D$3:D$169)</f>
        <v>0</v>
      </c>
      <c r="K19" s="81">
        <f t="shared" ref="K19:K82" si="4">SUMIF($B$3:$B$169,$I19,E$3:E$169)</f>
        <v>0</v>
      </c>
      <c r="L19" s="81">
        <f t="shared" ref="L19:L82" si="5">SUMIF($B$3:$B$169,$I19,F$3:F$169)</f>
        <v>0</v>
      </c>
    </row>
    <row r="20" spans="1:12">
      <c r="A20" s="421">
        <v>18</v>
      </c>
      <c r="B20" s="421"/>
      <c r="C20" s="421"/>
      <c r="D20" s="419">
        <f>SUMIFS(XLBH!I$2:I$19,XLBH!$B$2:$B$19,'chia CN XLBH'!$C20)</f>
        <v>0</v>
      </c>
      <c r="E20" s="419">
        <f>SUMIFS(XLBH!J$2:J$19,XLBH!$B$2:$B$19,'chia CN XLBH'!$C20)</f>
        <v>0</v>
      </c>
      <c r="F20" s="419">
        <f>SUMIFS(XLBH!K$2:K$19,XLBH!$B$2:$B$19,'chia CN XLBH'!$C20)</f>
        <v>0</v>
      </c>
      <c r="I20" s="80" t="e">
        <f>'chia CN SX'!V20</f>
        <v>#REF!</v>
      </c>
      <c r="J20" s="81">
        <f t="shared" si="3"/>
        <v>0</v>
      </c>
      <c r="K20" s="81">
        <f t="shared" si="4"/>
        <v>0</v>
      </c>
      <c r="L20" s="81">
        <f t="shared" si="5"/>
        <v>0</v>
      </c>
    </row>
    <row r="21" spans="1:12">
      <c r="A21" s="421">
        <v>19</v>
      </c>
      <c r="B21" s="421"/>
      <c r="C21" s="421"/>
      <c r="D21" s="419">
        <f>SUMIFS(XLBH!I$2:I$19,XLBH!$B$2:$B$19,'chia CN XLBH'!$C21)</f>
        <v>0</v>
      </c>
      <c r="E21" s="419">
        <f>SUMIFS(XLBH!J$2:J$19,XLBH!$B$2:$B$19,'chia CN XLBH'!$C21)</f>
        <v>0</v>
      </c>
      <c r="F21" s="419">
        <f>SUMIFS(XLBH!K$2:K$19,XLBH!$B$2:$B$19,'chia CN XLBH'!$C21)</f>
        <v>0</v>
      </c>
      <c r="I21" s="80" t="str">
        <f>'chia CN SX'!V21</f>
        <v>Triệu Minh Tuấn</v>
      </c>
      <c r="J21" s="81">
        <f t="shared" si="3"/>
        <v>0</v>
      </c>
      <c r="K21" s="81">
        <f t="shared" si="4"/>
        <v>0</v>
      </c>
      <c r="L21" s="81">
        <f t="shared" si="5"/>
        <v>0</v>
      </c>
    </row>
    <row r="22" spans="1:12">
      <c r="A22" s="421">
        <v>20</v>
      </c>
      <c r="B22" s="421"/>
      <c r="C22" s="421"/>
      <c r="D22" s="419">
        <f>SUMIFS(XLBH!I$2:I$19,XLBH!$B$2:$B$19,'chia CN XLBH'!$C22)</f>
        <v>0</v>
      </c>
      <c r="E22" s="419">
        <f>SUMIFS(XLBH!J$2:J$19,XLBH!$B$2:$B$19,'chia CN XLBH'!$C22)</f>
        <v>0</v>
      </c>
      <c r="F22" s="419">
        <f>SUMIFS(XLBH!K$2:K$19,XLBH!$B$2:$B$19,'chia CN XLBH'!$C22)</f>
        <v>0</v>
      </c>
      <c r="I22" s="80" t="str">
        <f>'chia CN SX'!V22</f>
        <v>Nguyễn Văn Phụng</v>
      </c>
      <c r="J22" s="81">
        <f t="shared" si="3"/>
        <v>0</v>
      </c>
      <c r="K22" s="81">
        <f t="shared" si="4"/>
        <v>0</v>
      </c>
      <c r="L22" s="81">
        <f t="shared" si="5"/>
        <v>0</v>
      </c>
    </row>
    <row r="23" spans="1:12">
      <c r="A23" s="421">
        <v>21</v>
      </c>
      <c r="B23" s="421"/>
      <c r="C23" s="421"/>
      <c r="D23" s="419">
        <f>SUMIFS(XLBH!I$2:I$19,XLBH!$B$2:$B$19,'chia CN XLBH'!$C23)</f>
        <v>0</v>
      </c>
      <c r="E23" s="419">
        <f>SUMIFS(XLBH!J$2:J$19,XLBH!$B$2:$B$19,'chia CN XLBH'!$C23)</f>
        <v>0</v>
      </c>
      <c r="F23" s="419">
        <f>SUMIFS(XLBH!K$2:K$19,XLBH!$B$2:$B$19,'chia CN XLBH'!$C23)</f>
        <v>0</v>
      </c>
      <c r="I23" s="80" t="e">
        <f>'chia CN SX'!V23</f>
        <v>#REF!</v>
      </c>
      <c r="J23" s="81">
        <f t="shared" si="3"/>
        <v>0</v>
      </c>
      <c r="K23" s="81">
        <f t="shared" si="4"/>
        <v>0</v>
      </c>
      <c r="L23" s="81">
        <f t="shared" si="5"/>
        <v>0</v>
      </c>
    </row>
    <row r="24" spans="1:12">
      <c r="A24" s="421">
        <v>22</v>
      </c>
      <c r="B24" s="421"/>
      <c r="C24" s="421"/>
      <c r="D24" s="419">
        <f>SUMIFS(XLBH!I$2:I$19,XLBH!$B$2:$B$19,'chia CN XLBH'!$C24)</f>
        <v>0</v>
      </c>
      <c r="E24" s="419">
        <f>SUMIFS(XLBH!J$2:J$19,XLBH!$B$2:$B$19,'chia CN XLBH'!$C24)</f>
        <v>0</v>
      </c>
      <c r="F24" s="419">
        <f>SUMIFS(XLBH!K$2:K$19,XLBH!$B$2:$B$19,'chia CN XLBH'!$C24)</f>
        <v>0</v>
      </c>
      <c r="I24" s="80" t="str">
        <f>'chia CN SX'!V24</f>
        <v xml:space="preserve">Nguyễn Minh Tuấn </v>
      </c>
      <c r="J24" s="81">
        <f t="shared" si="3"/>
        <v>0</v>
      </c>
      <c r="K24" s="81">
        <f t="shared" si="4"/>
        <v>0</v>
      </c>
      <c r="L24" s="81">
        <f t="shared" si="5"/>
        <v>0</v>
      </c>
    </row>
    <row r="25" spans="1:12">
      <c r="A25" s="421">
        <v>23</v>
      </c>
      <c r="B25" s="421"/>
      <c r="C25" s="421"/>
      <c r="D25" s="419">
        <f>SUMIFS(XLBH!I$2:I$19,XLBH!$B$2:$B$19,'chia CN XLBH'!$C25)</f>
        <v>0</v>
      </c>
      <c r="E25" s="419">
        <f>SUMIFS(XLBH!J$2:J$19,XLBH!$B$2:$B$19,'chia CN XLBH'!$C25)</f>
        <v>0</v>
      </c>
      <c r="F25" s="419">
        <f>SUMIFS(XLBH!K$2:K$19,XLBH!$B$2:$B$19,'chia CN XLBH'!$C25)</f>
        <v>0</v>
      </c>
      <c r="I25" s="80" t="e">
        <f>'chia CN SX'!V25</f>
        <v>#REF!</v>
      </c>
      <c r="J25" s="81">
        <f t="shared" si="3"/>
        <v>0</v>
      </c>
      <c r="K25" s="81">
        <f t="shared" si="4"/>
        <v>0</v>
      </c>
      <c r="L25" s="81">
        <f t="shared" si="5"/>
        <v>0</v>
      </c>
    </row>
    <row r="26" spans="1:12">
      <c r="A26" s="421">
        <v>24</v>
      </c>
      <c r="B26" s="421"/>
      <c r="C26" s="421"/>
      <c r="D26" s="419">
        <f>SUMIFS(XLBH!I$2:I$19,XLBH!$B$2:$B$19,'chia CN XLBH'!$C26)</f>
        <v>0</v>
      </c>
      <c r="E26" s="419">
        <f>SUMIFS(XLBH!J$2:J$19,XLBH!$B$2:$B$19,'chia CN XLBH'!$C26)</f>
        <v>0</v>
      </c>
      <c r="F26" s="419">
        <f>SUMIFS(XLBH!K$2:K$19,XLBH!$B$2:$B$19,'chia CN XLBH'!$C26)</f>
        <v>0</v>
      </c>
      <c r="I26" s="80" t="str">
        <f>'chia CN SX'!V26</f>
        <v xml:space="preserve">Triệu Bô Na </v>
      </c>
      <c r="J26" s="81">
        <f t="shared" si="3"/>
        <v>0</v>
      </c>
      <c r="K26" s="81">
        <f t="shared" si="4"/>
        <v>0</v>
      </c>
      <c r="L26" s="81">
        <f t="shared" si="5"/>
        <v>0</v>
      </c>
    </row>
    <row r="27" spans="1:12">
      <c r="A27" s="421">
        <v>25</v>
      </c>
      <c r="B27" s="421"/>
      <c r="C27" s="421"/>
      <c r="D27" s="419">
        <f>SUMIFS(XLBH!I$2:I$19,XLBH!$B$2:$B$19,'chia CN XLBH'!$C27)</f>
        <v>0</v>
      </c>
      <c r="E27" s="419">
        <f>SUMIFS(XLBH!J$2:J$19,XLBH!$B$2:$B$19,'chia CN XLBH'!$C27)</f>
        <v>0</v>
      </c>
      <c r="F27" s="419">
        <f>SUMIFS(XLBH!K$2:K$19,XLBH!$B$2:$B$19,'chia CN XLBH'!$C27)</f>
        <v>0</v>
      </c>
      <c r="I27" s="80" t="str">
        <f>'chia CN SX'!V27</f>
        <v xml:space="preserve">Trần Văn Thứ </v>
      </c>
      <c r="J27" s="81">
        <f t="shared" si="3"/>
        <v>0</v>
      </c>
      <c r="K27" s="81">
        <f t="shared" si="4"/>
        <v>0</v>
      </c>
      <c r="L27" s="81">
        <f t="shared" si="5"/>
        <v>0</v>
      </c>
    </row>
    <row r="28" spans="1:12">
      <c r="A28" s="421">
        <v>26</v>
      </c>
      <c r="B28" s="421"/>
      <c r="C28" s="421"/>
      <c r="D28" s="419">
        <f>SUMIFS(XLBH!I$2:I$19,XLBH!$B$2:$B$19,'chia CN XLBH'!$C28)</f>
        <v>0</v>
      </c>
      <c r="E28" s="419">
        <f>SUMIFS(XLBH!J$2:J$19,XLBH!$B$2:$B$19,'chia CN XLBH'!$C28)</f>
        <v>0</v>
      </c>
      <c r="F28" s="419">
        <f>SUMIFS(XLBH!K$2:K$19,XLBH!$B$2:$B$19,'chia CN XLBH'!$C28)</f>
        <v>0</v>
      </c>
      <c r="I28" s="80" t="str">
        <f>'chia CN SX'!V28</f>
        <v>Quách Văn Chánh</v>
      </c>
      <c r="J28" s="81">
        <f t="shared" si="3"/>
        <v>0</v>
      </c>
      <c r="K28" s="81">
        <f t="shared" si="4"/>
        <v>0</v>
      </c>
      <c r="L28" s="81">
        <f t="shared" si="5"/>
        <v>0</v>
      </c>
    </row>
    <row r="29" spans="1:12">
      <c r="A29" s="421">
        <v>27</v>
      </c>
      <c r="B29" s="421"/>
      <c r="C29" s="421"/>
      <c r="D29" s="419">
        <f>SUMIFS(XLBH!I$2:I$19,XLBH!$B$2:$B$19,'chia CN XLBH'!$C29)</f>
        <v>0</v>
      </c>
      <c r="E29" s="419">
        <f>SUMIFS(XLBH!J$2:J$19,XLBH!$B$2:$B$19,'chia CN XLBH'!$C29)</f>
        <v>0</v>
      </c>
      <c r="F29" s="419">
        <f>SUMIFS(XLBH!K$2:K$19,XLBH!$B$2:$B$19,'chia CN XLBH'!$C29)</f>
        <v>0</v>
      </c>
      <c r="I29" s="80" t="str">
        <f>'chia CN SX'!V29</f>
        <v>Nguyễn Tấn Kiệt</v>
      </c>
      <c r="J29" s="81">
        <f t="shared" si="3"/>
        <v>0</v>
      </c>
      <c r="K29" s="81">
        <f t="shared" si="4"/>
        <v>0</v>
      </c>
      <c r="L29" s="81">
        <f t="shared" si="5"/>
        <v>0</v>
      </c>
    </row>
    <row r="30" spans="1:12">
      <c r="A30" s="421">
        <v>28</v>
      </c>
      <c r="B30" s="421"/>
      <c r="C30" s="421"/>
      <c r="D30" s="419">
        <f>SUMIFS(XLBH!I$2:I$19,XLBH!$B$2:$B$19,'chia CN XLBH'!$C30)</f>
        <v>0</v>
      </c>
      <c r="E30" s="419">
        <f>SUMIFS(XLBH!J$2:J$19,XLBH!$B$2:$B$19,'chia CN XLBH'!$C30)</f>
        <v>0</v>
      </c>
      <c r="F30" s="419">
        <f>SUMIFS(XLBH!K$2:K$19,XLBH!$B$2:$B$19,'chia CN XLBH'!$C30)</f>
        <v>0</v>
      </c>
      <c r="I30" s="80" t="e">
        <f>'chia CN SX'!V30</f>
        <v>#REF!</v>
      </c>
      <c r="J30" s="81">
        <f t="shared" si="3"/>
        <v>0</v>
      </c>
      <c r="K30" s="81">
        <f t="shared" si="4"/>
        <v>0</v>
      </c>
      <c r="L30" s="81">
        <f t="shared" si="5"/>
        <v>0</v>
      </c>
    </row>
    <row r="31" spans="1:12">
      <c r="A31" s="421">
        <v>29</v>
      </c>
      <c r="B31" s="421"/>
      <c r="C31" s="421"/>
      <c r="D31" s="419">
        <f>SUMIFS(XLBH!I$2:I$19,XLBH!$B$2:$B$19,'chia CN XLBH'!$C31)</f>
        <v>0</v>
      </c>
      <c r="E31" s="419">
        <f>SUMIFS(XLBH!J$2:J$19,XLBH!$B$2:$B$19,'chia CN XLBH'!$C31)</f>
        <v>0</v>
      </c>
      <c r="F31" s="419">
        <f>SUMIFS(XLBH!K$2:K$19,XLBH!$B$2:$B$19,'chia CN XLBH'!$C31)</f>
        <v>0</v>
      </c>
      <c r="I31" s="80" t="e">
        <f>'chia CN SX'!V31</f>
        <v>#REF!</v>
      </c>
      <c r="J31" s="81">
        <f t="shared" si="3"/>
        <v>0</v>
      </c>
      <c r="K31" s="81">
        <f t="shared" si="4"/>
        <v>0</v>
      </c>
      <c r="L31" s="81">
        <f t="shared" si="5"/>
        <v>0</v>
      </c>
    </row>
    <row r="32" spans="1:12">
      <c r="A32" s="421">
        <v>30</v>
      </c>
      <c r="B32" s="421"/>
      <c r="C32" s="421"/>
      <c r="D32" s="419">
        <f>SUMIFS(XLBH!I$2:I$19,XLBH!$B$2:$B$19,'chia CN XLBH'!$C32)</f>
        <v>0</v>
      </c>
      <c r="E32" s="419">
        <f>SUMIFS(XLBH!J$2:J$19,XLBH!$B$2:$B$19,'chia CN XLBH'!$C32)</f>
        <v>0</v>
      </c>
      <c r="F32" s="419">
        <f>SUMIFS(XLBH!K$2:K$19,XLBH!$B$2:$B$19,'chia CN XLBH'!$C32)</f>
        <v>0</v>
      </c>
      <c r="I32" s="80" t="e">
        <f>'chia CN SX'!V32</f>
        <v>#REF!</v>
      </c>
      <c r="J32" s="81">
        <f t="shared" si="3"/>
        <v>0</v>
      </c>
      <c r="K32" s="81">
        <f t="shared" si="4"/>
        <v>0</v>
      </c>
      <c r="L32" s="81">
        <f t="shared" si="5"/>
        <v>0</v>
      </c>
    </row>
    <row r="33" spans="1:12">
      <c r="A33" s="421">
        <v>31</v>
      </c>
      <c r="B33" s="421"/>
      <c r="C33" s="421"/>
      <c r="D33" s="419">
        <f>SUMIFS(XLBH!I$2:I$19,XLBH!$B$2:$B$19,'chia CN XLBH'!$C33)</f>
        <v>0</v>
      </c>
      <c r="E33" s="419">
        <f>SUMIFS(XLBH!J$2:J$19,XLBH!$B$2:$B$19,'chia CN XLBH'!$C33)</f>
        <v>0</v>
      </c>
      <c r="F33" s="419">
        <f>SUMIFS(XLBH!K$2:K$19,XLBH!$B$2:$B$19,'chia CN XLBH'!$C33)</f>
        <v>0</v>
      </c>
      <c r="I33" s="80" t="e">
        <f>'chia CN SX'!#REF!</f>
        <v>#REF!</v>
      </c>
      <c r="J33" s="81">
        <f t="shared" si="3"/>
        <v>0</v>
      </c>
      <c r="K33" s="81">
        <f t="shared" si="4"/>
        <v>0</v>
      </c>
      <c r="L33" s="81">
        <f t="shared" si="5"/>
        <v>0</v>
      </c>
    </row>
    <row r="34" spans="1:12">
      <c r="A34" s="421">
        <v>32</v>
      </c>
      <c r="B34" s="421"/>
      <c r="C34" s="421"/>
      <c r="D34" s="419">
        <f>SUMIFS(XLBH!I$2:I$19,XLBH!$B$2:$B$19,'chia CN XLBH'!$C34)</f>
        <v>0</v>
      </c>
      <c r="E34" s="419">
        <f>SUMIFS(XLBH!J$2:J$19,XLBH!$B$2:$B$19,'chia CN XLBH'!$C34)</f>
        <v>0</v>
      </c>
      <c r="F34" s="419">
        <f>SUMIFS(XLBH!K$2:K$19,XLBH!$B$2:$B$19,'chia CN XLBH'!$C34)</f>
        <v>0</v>
      </c>
      <c r="I34" s="80" t="e">
        <f>'chia CN SX'!V33</f>
        <v>#REF!</v>
      </c>
      <c r="J34" s="81">
        <f t="shared" si="3"/>
        <v>0</v>
      </c>
      <c r="K34" s="81">
        <f t="shared" si="4"/>
        <v>0</v>
      </c>
      <c r="L34" s="81">
        <f t="shared" si="5"/>
        <v>0</v>
      </c>
    </row>
    <row r="35" spans="1:12">
      <c r="A35" s="421">
        <v>33</v>
      </c>
      <c r="B35" s="421"/>
      <c r="C35" s="421"/>
      <c r="D35" s="419">
        <f>SUMIFS(XLBH!I$2:I$19,XLBH!$B$2:$B$19,'chia CN XLBH'!$C35)</f>
        <v>0</v>
      </c>
      <c r="E35" s="419">
        <f>SUMIFS(XLBH!J$2:J$19,XLBH!$B$2:$B$19,'chia CN XLBH'!$C35)</f>
        <v>0</v>
      </c>
      <c r="F35" s="419">
        <f>SUMIFS(XLBH!K$2:K$19,XLBH!$B$2:$B$19,'chia CN XLBH'!$C35)</f>
        <v>0</v>
      </c>
      <c r="I35" s="80" t="str">
        <f>'chia CN SX'!V34</f>
        <v>Kim Em</v>
      </c>
      <c r="J35" s="81">
        <f t="shared" si="3"/>
        <v>0</v>
      </c>
      <c r="K35" s="81">
        <f t="shared" si="4"/>
        <v>0</v>
      </c>
      <c r="L35" s="81">
        <f t="shared" si="5"/>
        <v>0</v>
      </c>
    </row>
    <row r="36" spans="1:12">
      <c r="A36" s="421">
        <v>34</v>
      </c>
      <c r="B36" s="421"/>
      <c r="C36" s="421"/>
      <c r="D36" s="419">
        <f>SUMIFS(XLBH!I$2:I$19,XLBH!$B$2:$B$19,'chia CN XLBH'!$C36)</f>
        <v>0</v>
      </c>
      <c r="E36" s="419">
        <f>SUMIFS(XLBH!J$2:J$19,XLBH!$B$2:$B$19,'chia CN XLBH'!$C36)</f>
        <v>0</v>
      </c>
      <c r="F36" s="419">
        <f>SUMIFS(XLBH!K$2:K$19,XLBH!$B$2:$B$19,'chia CN XLBH'!$C36)</f>
        <v>0</v>
      </c>
      <c r="I36" s="80" t="e">
        <f>'chia CN SX'!V35</f>
        <v>#REF!</v>
      </c>
      <c r="J36" s="81">
        <f t="shared" si="3"/>
        <v>0</v>
      </c>
      <c r="K36" s="81">
        <f t="shared" si="4"/>
        <v>0</v>
      </c>
      <c r="L36" s="81">
        <f t="shared" si="5"/>
        <v>0</v>
      </c>
    </row>
    <row r="37" spans="1:12">
      <c r="A37" s="421">
        <v>35</v>
      </c>
      <c r="B37" s="421"/>
      <c r="C37" s="421"/>
      <c r="D37" s="419">
        <f>SUMIFS(XLBH!I$2:I$19,XLBH!$B$2:$B$19,'chia CN XLBH'!$C37)</f>
        <v>0</v>
      </c>
      <c r="E37" s="419">
        <f>SUMIFS(XLBH!J$2:J$19,XLBH!$B$2:$B$19,'chia CN XLBH'!$C37)</f>
        <v>0</v>
      </c>
      <c r="F37" s="419">
        <f>SUMIFS(XLBH!K$2:K$19,XLBH!$B$2:$B$19,'chia CN XLBH'!$C37)</f>
        <v>0</v>
      </c>
      <c r="I37" s="80" t="e">
        <f>'chia CN SX'!V36</f>
        <v>#REF!</v>
      </c>
      <c r="J37" s="81">
        <f t="shared" si="3"/>
        <v>0</v>
      </c>
      <c r="K37" s="81">
        <f t="shared" si="4"/>
        <v>0</v>
      </c>
      <c r="L37" s="81">
        <f t="shared" si="5"/>
        <v>0</v>
      </c>
    </row>
    <row r="38" spans="1:12">
      <c r="A38" s="421">
        <v>36</v>
      </c>
      <c r="B38" s="421"/>
      <c r="C38" s="421"/>
      <c r="D38" s="419">
        <f>SUMIFS(XLBH!I$2:I$19,XLBH!$B$2:$B$19,'chia CN XLBH'!$C38)</f>
        <v>0</v>
      </c>
      <c r="E38" s="419">
        <f>SUMIFS(XLBH!J$2:J$19,XLBH!$B$2:$B$19,'chia CN XLBH'!$C38)</f>
        <v>0</v>
      </c>
      <c r="F38" s="419">
        <f>SUMIFS(XLBH!K$2:K$19,XLBH!$B$2:$B$19,'chia CN XLBH'!$C38)</f>
        <v>0</v>
      </c>
      <c r="I38" s="80" t="e">
        <f>'chia CN SX'!V37</f>
        <v>#REF!</v>
      </c>
      <c r="J38" s="81">
        <f t="shared" si="3"/>
        <v>0</v>
      </c>
      <c r="K38" s="81">
        <f t="shared" si="4"/>
        <v>0</v>
      </c>
      <c r="L38" s="81">
        <f t="shared" si="5"/>
        <v>0</v>
      </c>
    </row>
    <row r="39" spans="1:12">
      <c r="A39" s="421">
        <v>37</v>
      </c>
      <c r="B39" s="421"/>
      <c r="C39" s="421"/>
      <c r="D39" s="419">
        <f>SUMIFS(XLBH!I$2:I$19,XLBH!$B$2:$B$19,'chia CN XLBH'!$C39)</f>
        <v>0</v>
      </c>
      <c r="E39" s="419">
        <f>SUMIFS(XLBH!J$2:J$19,XLBH!$B$2:$B$19,'chia CN XLBH'!$C39)</f>
        <v>0</v>
      </c>
      <c r="F39" s="419">
        <f>SUMIFS(XLBH!K$2:K$19,XLBH!$B$2:$B$19,'chia CN XLBH'!$C39)</f>
        <v>0</v>
      </c>
      <c r="I39" s="80" t="e">
        <f>'chia CN SX'!V38</f>
        <v>#REF!</v>
      </c>
      <c r="J39" s="81">
        <f t="shared" si="3"/>
        <v>0</v>
      </c>
      <c r="K39" s="81">
        <f t="shared" si="4"/>
        <v>0</v>
      </c>
      <c r="L39" s="81">
        <f t="shared" si="5"/>
        <v>0</v>
      </c>
    </row>
    <row r="40" spans="1:12">
      <c r="A40" s="421">
        <v>38</v>
      </c>
      <c r="B40" s="421"/>
      <c r="C40" s="421"/>
      <c r="D40" s="419">
        <f>SUMIFS(XLBH!I$2:I$19,XLBH!$B$2:$B$19,'chia CN XLBH'!$C40)</f>
        <v>0</v>
      </c>
      <c r="E40" s="419">
        <f>SUMIFS(XLBH!J$2:J$19,XLBH!$B$2:$B$19,'chia CN XLBH'!$C40)</f>
        <v>0</v>
      </c>
      <c r="F40" s="419">
        <f>SUMIFS(XLBH!K$2:K$19,XLBH!$B$2:$B$19,'chia CN XLBH'!$C40)</f>
        <v>0</v>
      </c>
      <c r="I40" s="80" t="e">
        <f>'chia CN SX'!V39</f>
        <v>#REF!</v>
      </c>
      <c r="J40" s="81">
        <f t="shared" si="3"/>
        <v>0</v>
      </c>
      <c r="K40" s="81">
        <f t="shared" si="4"/>
        <v>0</v>
      </c>
      <c r="L40" s="81">
        <f t="shared" si="5"/>
        <v>0</v>
      </c>
    </row>
    <row r="41" spans="1:12">
      <c r="A41" s="421">
        <v>39</v>
      </c>
      <c r="B41" s="421"/>
      <c r="C41" s="421"/>
      <c r="D41" s="419">
        <f>SUMIFS(XLBH!I$2:I$19,XLBH!$B$2:$B$19,'chia CN XLBH'!$C41)</f>
        <v>0</v>
      </c>
      <c r="E41" s="419">
        <f>SUMIFS(XLBH!J$2:J$19,XLBH!$B$2:$B$19,'chia CN XLBH'!$C41)</f>
        <v>0</v>
      </c>
      <c r="F41" s="419">
        <f>SUMIFS(XLBH!K$2:K$19,XLBH!$B$2:$B$19,'chia CN XLBH'!$C41)</f>
        <v>0</v>
      </c>
      <c r="I41" s="80" t="e">
        <f>'chia CN SX'!V40</f>
        <v>#REF!</v>
      </c>
      <c r="J41" s="81">
        <f t="shared" si="3"/>
        <v>0</v>
      </c>
      <c r="K41" s="81">
        <f t="shared" si="4"/>
        <v>0</v>
      </c>
      <c r="L41" s="81">
        <f t="shared" si="5"/>
        <v>0</v>
      </c>
    </row>
    <row r="42" spans="1:12">
      <c r="A42" s="421">
        <v>40</v>
      </c>
      <c r="B42" s="421"/>
      <c r="C42" s="421"/>
      <c r="D42" s="419">
        <f>SUMIFS(XLBH!I$2:I$19,XLBH!$B$2:$B$19,'chia CN XLBH'!$C42)</f>
        <v>0</v>
      </c>
      <c r="E42" s="419">
        <f>SUMIFS(XLBH!J$2:J$19,XLBH!$B$2:$B$19,'chia CN XLBH'!$C42)</f>
        <v>0</v>
      </c>
      <c r="F42" s="419">
        <f>SUMIFS(XLBH!K$2:K$19,XLBH!$B$2:$B$19,'chia CN XLBH'!$C42)</f>
        <v>0</v>
      </c>
      <c r="I42" s="80" t="e">
        <f>'chia CN SX'!V41</f>
        <v>#REF!</v>
      </c>
      <c r="J42" s="81">
        <f t="shared" si="3"/>
        <v>0</v>
      </c>
      <c r="K42" s="81">
        <f t="shared" si="4"/>
        <v>0</v>
      </c>
      <c r="L42" s="81">
        <f t="shared" si="5"/>
        <v>0</v>
      </c>
    </row>
    <row r="43" spans="1:12">
      <c r="A43" s="421">
        <v>41</v>
      </c>
      <c r="B43" s="421"/>
      <c r="C43" s="421"/>
      <c r="D43" s="419">
        <f>SUMIFS(XLBH!I$2:I$19,XLBH!$B$2:$B$19,'chia CN XLBH'!$C43)</f>
        <v>0</v>
      </c>
      <c r="E43" s="419">
        <f>SUMIFS(XLBH!J$2:J$19,XLBH!$B$2:$B$19,'chia CN XLBH'!$C43)</f>
        <v>0</v>
      </c>
      <c r="F43" s="419">
        <f>SUMIFS(XLBH!K$2:K$19,XLBH!$B$2:$B$19,'chia CN XLBH'!$C43)</f>
        <v>0</v>
      </c>
      <c r="I43" s="80" t="e">
        <f>'chia CN SX'!V42</f>
        <v>#REF!</v>
      </c>
      <c r="J43" s="81">
        <f t="shared" si="3"/>
        <v>0</v>
      </c>
      <c r="K43" s="81">
        <f t="shared" si="4"/>
        <v>0</v>
      </c>
      <c r="L43" s="81">
        <f t="shared" si="5"/>
        <v>0</v>
      </c>
    </row>
    <row r="44" spans="1:12">
      <c r="A44" s="421">
        <v>42</v>
      </c>
      <c r="B44" s="421"/>
      <c r="C44" s="421"/>
      <c r="D44" s="419">
        <f>SUMIFS(XLBH!I$2:I$19,XLBH!$B$2:$B$19,'chia CN XLBH'!$C44)</f>
        <v>0</v>
      </c>
      <c r="E44" s="419">
        <f>SUMIFS(XLBH!J$2:J$19,XLBH!$B$2:$B$19,'chia CN XLBH'!$C44)</f>
        <v>0</v>
      </c>
      <c r="F44" s="419">
        <f>SUMIFS(XLBH!K$2:K$19,XLBH!$B$2:$B$19,'chia CN XLBH'!$C44)</f>
        <v>0</v>
      </c>
      <c r="I44" s="80" t="e">
        <f>'chia CN SX'!V43</f>
        <v>#REF!</v>
      </c>
      <c r="J44" s="81">
        <f t="shared" si="3"/>
        <v>0</v>
      </c>
      <c r="K44" s="81">
        <f t="shared" si="4"/>
        <v>0</v>
      </c>
      <c r="L44" s="81">
        <f t="shared" si="5"/>
        <v>0</v>
      </c>
    </row>
    <row r="45" spans="1:12">
      <c r="A45" s="421">
        <v>43</v>
      </c>
      <c r="B45" s="421"/>
      <c r="C45" s="421"/>
      <c r="D45" s="419">
        <f>SUMIFS(XLBH!I$2:I$19,XLBH!$B$2:$B$19,'chia CN XLBH'!$C45)</f>
        <v>0</v>
      </c>
      <c r="E45" s="419">
        <f>SUMIFS(XLBH!J$2:J$19,XLBH!$B$2:$B$19,'chia CN XLBH'!$C45)</f>
        <v>0</v>
      </c>
      <c r="F45" s="419">
        <f>SUMIFS(XLBH!K$2:K$19,XLBH!$B$2:$B$19,'chia CN XLBH'!$C45)</f>
        <v>0</v>
      </c>
      <c r="I45" s="80" t="e">
        <f>'chia CN SX'!V44</f>
        <v>#REF!</v>
      </c>
      <c r="J45" s="81">
        <f t="shared" si="3"/>
        <v>0</v>
      </c>
      <c r="K45" s="81">
        <f t="shared" si="4"/>
        <v>0</v>
      </c>
      <c r="L45" s="81">
        <f t="shared" si="5"/>
        <v>0</v>
      </c>
    </row>
    <row r="46" spans="1:12">
      <c r="A46" s="421">
        <v>44</v>
      </c>
      <c r="B46" s="421"/>
      <c r="C46" s="421"/>
      <c r="D46" s="419">
        <f>SUMIFS(XLBH!I$2:I$19,XLBH!$B$2:$B$19,'chia CN XLBH'!$C46)</f>
        <v>0</v>
      </c>
      <c r="E46" s="419">
        <f>SUMIFS(XLBH!J$2:J$19,XLBH!$B$2:$B$19,'chia CN XLBH'!$C46)</f>
        <v>0</v>
      </c>
      <c r="F46" s="419">
        <f>SUMIFS(XLBH!K$2:K$19,XLBH!$B$2:$B$19,'chia CN XLBH'!$C46)</f>
        <v>0</v>
      </c>
      <c r="I46" s="80" t="e">
        <f>'chia CN SX'!V45</f>
        <v>#REF!</v>
      </c>
      <c r="J46" s="81">
        <f t="shared" si="3"/>
        <v>0</v>
      </c>
      <c r="K46" s="81">
        <f t="shared" si="4"/>
        <v>0</v>
      </c>
      <c r="L46" s="81">
        <f t="shared" si="5"/>
        <v>0</v>
      </c>
    </row>
    <row r="47" spans="1:12">
      <c r="A47" s="421">
        <v>45</v>
      </c>
      <c r="B47" s="421"/>
      <c r="C47" s="421"/>
      <c r="D47" s="419">
        <f>SUMIFS(XLBH!I$2:I$19,XLBH!$B$2:$B$19,'chia CN XLBH'!$C47)</f>
        <v>0</v>
      </c>
      <c r="E47" s="419">
        <f>SUMIFS(XLBH!J$2:J$19,XLBH!$B$2:$B$19,'chia CN XLBH'!$C47)</f>
        <v>0</v>
      </c>
      <c r="F47" s="419">
        <f>SUMIFS(XLBH!K$2:K$19,XLBH!$B$2:$B$19,'chia CN XLBH'!$C47)</f>
        <v>0</v>
      </c>
      <c r="I47" s="80" t="e">
        <f>'chia CN SX'!V46</f>
        <v>#REF!</v>
      </c>
      <c r="J47" s="81">
        <f t="shared" si="3"/>
        <v>0</v>
      </c>
      <c r="K47" s="81">
        <f t="shared" si="4"/>
        <v>0</v>
      </c>
      <c r="L47" s="81">
        <f t="shared" si="5"/>
        <v>0</v>
      </c>
    </row>
    <row r="48" spans="1:12">
      <c r="A48" s="421">
        <v>46</v>
      </c>
      <c r="B48" s="421"/>
      <c r="C48" s="421"/>
      <c r="D48" s="419">
        <f>SUMIFS(XLBH!I$2:I$19,XLBH!$B$2:$B$19,'chia CN XLBH'!$C48)</f>
        <v>0</v>
      </c>
      <c r="E48" s="419">
        <f>SUMIFS(XLBH!J$2:J$19,XLBH!$B$2:$B$19,'chia CN XLBH'!$C48)</f>
        <v>0</v>
      </c>
      <c r="F48" s="419">
        <f>SUMIFS(XLBH!K$2:K$19,XLBH!$B$2:$B$19,'chia CN XLBH'!$C48)</f>
        <v>0</v>
      </c>
      <c r="I48" s="80" t="e">
        <f>'chia CN SX'!V47</f>
        <v>#REF!</v>
      </c>
      <c r="J48" s="81">
        <f t="shared" si="3"/>
        <v>0</v>
      </c>
      <c r="K48" s="81">
        <f t="shared" si="4"/>
        <v>0</v>
      </c>
      <c r="L48" s="81">
        <f t="shared" si="5"/>
        <v>0</v>
      </c>
    </row>
    <row r="49" spans="1:12">
      <c r="A49" s="421">
        <v>47</v>
      </c>
      <c r="B49" s="421"/>
      <c r="C49" s="421"/>
      <c r="D49" s="419">
        <f>SUMIFS(XLBH!I$2:I$19,XLBH!$B$2:$B$19,'chia CN XLBH'!$C49)</f>
        <v>0</v>
      </c>
      <c r="E49" s="419">
        <f>SUMIFS(XLBH!J$2:J$19,XLBH!$B$2:$B$19,'chia CN XLBH'!$C49)</f>
        <v>0</v>
      </c>
      <c r="F49" s="419">
        <f>SUMIFS(XLBH!K$2:K$19,XLBH!$B$2:$B$19,'chia CN XLBH'!$C49)</f>
        <v>0</v>
      </c>
      <c r="I49" s="80" t="e">
        <f>'chia CN SX'!V48</f>
        <v>#REF!</v>
      </c>
      <c r="J49" s="81">
        <f t="shared" si="3"/>
        <v>0</v>
      </c>
      <c r="K49" s="81">
        <f t="shared" si="4"/>
        <v>0</v>
      </c>
      <c r="L49" s="81">
        <f t="shared" si="5"/>
        <v>0</v>
      </c>
    </row>
    <row r="50" spans="1:12">
      <c r="A50" s="421">
        <v>48</v>
      </c>
      <c r="B50" s="421"/>
      <c r="C50" s="421"/>
      <c r="D50" s="419">
        <f>SUMIFS(XLBH!I$2:I$19,XLBH!$B$2:$B$19,'chia CN XLBH'!$C50)</f>
        <v>0</v>
      </c>
      <c r="E50" s="419">
        <f>SUMIFS(XLBH!J$2:J$19,XLBH!$B$2:$B$19,'chia CN XLBH'!$C50)</f>
        <v>0</v>
      </c>
      <c r="F50" s="419">
        <f>SUMIFS(XLBH!K$2:K$19,XLBH!$B$2:$B$19,'chia CN XLBH'!$C50)</f>
        <v>0</v>
      </c>
      <c r="I50" s="80" t="e">
        <f>'chia CN SX'!V49</f>
        <v>#REF!</v>
      </c>
      <c r="J50" s="81">
        <f t="shared" si="3"/>
        <v>0</v>
      </c>
      <c r="K50" s="81">
        <f t="shared" si="4"/>
        <v>0</v>
      </c>
      <c r="L50" s="81">
        <f t="shared" si="5"/>
        <v>0</v>
      </c>
    </row>
    <row r="51" spans="1:12">
      <c r="A51" s="421">
        <v>49</v>
      </c>
      <c r="B51" s="421"/>
      <c r="C51" s="421"/>
      <c r="D51" s="419">
        <f>SUMIFS(XLBH!I$2:I$19,XLBH!$B$2:$B$19,'chia CN XLBH'!$C51)</f>
        <v>0</v>
      </c>
      <c r="E51" s="419">
        <f>SUMIFS(XLBH!J$2:J$19,XLBH!$B$2:$B$19,'chia CN XLBH'!$C51)</f>
        <v>0</v>
      </c>
      <c r="F51" s="419">
        <f>SUMIFS(XLBH!K$2:K$19,XLBH!$B$2:$B$19,'chia CN XLBH'!$C51)</f>
        <v>0</v>
      </c>
      <c r="I51" s="80" t="e">
        <f>'chia CN SX'!V50</f>
        <v>#REF!</v>
      </c>
      <c r="J51" s="81">
        <f t="shared" si="3"/>
        <v>0</v>
      </c>
      <c r="K51" s="81">
        <f t="shared" si="4"/>
        <v>0</v>
      </c>
      <c r="L51" s="81">
        <f t="shared" si="5"/>
        <v>0</v>
      </c>
    </row>
    <row r="52" spans="1:12">
      <c r="A52" s="421">
        <v>50</v>
      </c>
      <c r="B52" s="421"/>
      <c r="C52" s="421"/>
      <c r="D52" s="419">
        <f>SUMIFS(XLBH!I$2:I$19,XLBH!$B$2:$B$19,'chia CN XLBH'!$C52)</f>
        <v>0</v>
      </c>
      <c r="E52" s="419">
        <f>SUMIFS(XLBH!J$2:J$19,XLBH!$B$2:$B$19,'chia CN XLBH'!$C52)</f>
        <v>0</v>
      </c>
      <c r="F52" s="419">
        <f>SUMIFS(XLBH!K$2:K$19,XLBH!$B$2:$B$19,'chia CN XLBH'!$C52)</f>
        <v>0</v>
      </c>
      <c r="I52" s="80" t="e">
        <f>'chia CN SX'!V51</f>
        <v>#REF!</v>
      </c>
      <c r="J52" s="81">
        <f t="shared" si="3"/>
        <v>0</v>
      </c>
      <c r="K52" s="81">
        <f t="shared" si="4"/>
        <v>0</v>
      </c>
      <c r="L52" s="81">
        <f t="shared" si="5"/>
        <v>0</v>
      </c>
    </row>
    <row r="53" spans="1:12">
      <c r="A53" s="421">
        <v>51</v>
      </c>
      <c r="B53" s="421"/>
      <c r="C53" s="421"/>
      <c r="D53" s="419">
        <f>SUMIFS(XLBH!I$2:I$19,XLBH!$B$2:$B$19,'chia CN XLBH'!$C53)</f>
        <v>0</v>
      </c>
      <c r="E53" s="419">
        <f>SUMIFS(XLBH!J$2:J$19,XLBH!$B$2:$B$19,'chia CN XLBH'!$C53)</f>
        <v>0</v>
      </c>
      <c r="F53" s="419">
        <f>SUMIFS(XLBH!K$2:K$19,XLBH!$B$2:$B$19,'chia CN XLBH'!$C53)</f>
        <v>0</v>
      </c>
      <c r="I53" s="80" t="e">
        <f>'chia CN SX'!V52</f>
        <v>#REF!</v>
      </c>
      <c r="J53" s="81">
        <f t="shared" si="3"/>
        <v>0</v>
      </c>
      <c r="K53" s="81">
        <f t="shared" si="4"/>
        <v>0</v>
      </c>
      <c r="L53" s="81">
        <f t="shared" si="5"/>
        <v>0</v>
      </c>
    </row>
    <row r="54" spans="1:12">
      <c r="A54" s="421">
        <v>52</v>
      </c>
      <c r="B54" s="421"/>
      <c r="C54" s="421"/>
      <c r="D54" s="419">
        <f>SUMIFS(XLBH!I$2:I$19,XLBH!$B$2:$B$19,'chia CN XLBH'!$C54)</f>
        <v>0</v>
      </c>
      <c r="E54" s="419">
        <f>SUMIFS(XLBH!J$2:J$19,XLBH!$B$2:$B$19,'chia CN XLBH'!$C54)</f>
        <v>0</v>
      </c>
      <c r="F54" s="419">
        <f>SUMIFS(XLBH!K$2:K$19,XLBH!$B$2:$B$19,'chia CN XLBH'!$C54)</f>
        <v>0</v>
      </c>
      <c r="I54" s="80" t="e">
        <f>'chia CN SX'!V53</f>
        <v>#REF!</v>
      </c>
      <c r="J54" s="81">
        <f t="shared" si="3"/>
        <v>0</v>
      </c>
      <c r="K54" s="81">
        <f t="shared" si="4"/>
        <v>0</v>
      </c>
      <c r="L54" s="81">
        <f t="shared" si="5"/>
        <v>0</v>
      </c>
    </row>
    <row r="55" spans="1:12">
      <c r="A55" s="421">
        <v>53</v>
      </c>
      <c r="B55" s="421"/>
      <c r="C55" s="421"/>
      <c r="D55" s="419">
        <f>SUMIFS(XLBH!I$2:I$19,XLBH!$B$2:$B$19,'chia CN XLBH'!$C55)</f>
        <v>0</v>
      </c>
      <c r="E55" s="419">
        <f>SUMIFS(XLBH!J$2:J$19,XLBH!$B$2:$B$19,'chia CN XLBH'!$C55)</f>
        <v>0</v>
      </c>
      <c r="F55" s="419">
        <f>SUMIFS(XLBH!K$2:K$19,XLBH!$B$2:$B$19,'chia CN XLBH'!$C55)</f>
        <v>0</v>
      </c>
      <c r="I55" s="80" t="e">
        <f>'chia CN SX'!V54</f>
        <v>#REF!</v>
      </c>
      <c r="J55" s="81">
        <f t="shared" si="3"/>
        <v>0</v>
      </c>
      <c r="K55" s="81">
        <f t="shared" si="4"/>
        <v>0</v>
      </c>
      <c r="L55" s="81">
        <f t="shared" si="5"/>
        <v>0</v>
      </c>
    </row>
    <row r="56" spans="1:12">
      <c r="A56" s="421">
        <v>54</v>
      </c>
      <c r="B56" s="421"/>
      <c r="C56" s="421"/>
      <c r="D56" s="419">
        <f>SUMIFS(XLBH!I$2:I$19,XLBH!$B$2:$B$19,'chia CN XLBH'!$C56)</f>
        <v>0</v>
      </c>
      <c r="E56" s="419">
        <f>SUMIFS(XLBH!J$2:J$19,XLBH!$B$2:$B$19,'chia CN XLBH'!$C56)</f>
        <v>0</v>
      </c>
      <c r="F56" s="419">
        <f>SUMIFS(XLBH!K$2:K$19,XLBH!$B$2:$B$19,'chia CN XLBH'!$C56)</f>
        <v>0</v>
      </c>
      <c r="I56" s="80" t="str">
        <f>'chia CN SX'!V55</f>
        <v>Trần văn Nguyện</v>
      </c>
      <c r="J56" s="81">
        <f t="shared" si="3"/>
        <v>0</v>
      </c>
      <c r="K56" s="81">
        <f t="shared" si="4"/>
        <v>0</v>
      </c>
      <c r="L56" s="81">
        <f t="shared" si="5"/>
        <v>0</v>
      </c>
    </row>
    <row r="57" spans="1:12">
      <c r="A57" s="421">
        <v>55</v>
      </c>
      <c r="B57" s="421"/>
      <c r="C57" s="421"/>
      <c r="D57" s="419">
        <f>SUMIFS(XLBH!I$2:I$19,XLBH!$B$2:$B$19,'chia CN XLBH'!$C57)</f>
        <v>0</v>
      </c>
      <c r="E57" s="419">
        <f>SUMIFS(XLBH!J$2:J$19,XLBH!$B$2:$B$19,'chia CN XLBH'!$C57)</f>
        <v>0</v>
      </c>
      <c r="F57" s="419">
        <f>SUMIFS(XLBH!K$2:K$19,XLBH!$B$2:$B$19,'chia CN XLBH'!$C57)</f>
        <v>0</v>
      </c>
      <c r="I57" s="80" t="e">
        <f>'chia CN SX'!V56</f>
        <v>#REF!</v>
      </c>
      <c r="J57" s="81">
        <f t="shared" si="3"/>
        <v>0</v>
      </c>
      <c r="K57" s="81">
        <f t="shared" si="4"/>
        <v>0</v>
      </c>
      <c r="L57" s="81">
        <f t="shared" si="5"/>
        <v>0</v>
      </c>
    </row>
    <row r="58" spans="1:12">
      <c r="A58" s="421">
        <v>56</v>
      </c>
      <c r="B58" s="421"/>
      <c r="C58" s="421"/>
      <c r="D58" s="419">
        <f>SUMIFS(XLBH!I$2:I$19,XLBH!$B$2:$B$19,'chia CN XLBH'!$C58)</f>
        <v>0</v>
      </c>
      <c r="E58" s="419">
        <f>SUMIFS(XLBH!J$2:J$19,XLBH!$B$2:$B$19,'chia CN XLBH'!$C58)</f>
        <v>0</v>
      </c>
      <c r="F58" s="419">
        <f>SUMIFS(XLBH!K$2:K$19,XLBH!$B$2:$B$19,'chia CN XLBH'!$C58)</f>
        <v>0</v>
      </c>
      <c r="I58" s="80" t="e">
        <f>'chia CN SX'!V57</f>
        <v>#REF!</v>
      </c>
      <c r="J58" s="81">
        <f t="shared" si="3"/>
        <v>0</v>
      </c>
      <c r="K58" s="81">
        <f t="shared" si="4"/>
        <v>0</v>
      </c>
      <c r="L58" s="81">
        <f t="shared" si="5"/>
        <v>0</v>
      </c>
    </row>
    <row r="59" spans="1:12">
      <c r="A59" s="421">
        <v>57</v>
      </c>
      <c r="B59" s="421"/>
      <c r="C59" s="421"/>
      <c r="D59" s="419">
        <f>SUMIFS(XLBH!I$2:I$19,XLBH!$B$2:$B$19,'chia CN XLBH'!$C59)</f>
        <v>0</v>
      </c>
      <c r="E59" s="419">
        <f>SUMIFS(XLBH!J$2:J$19,XLBH!$B$2:$B$19,'chia CN XLBH'!$C59)</f>
        <v>0</v>
      </c>
      <c r="F59" s="419">
        <f>SUMIFS(XLBH!K$2:K$19,XLBH!$B$2:$B$19,'chia CN XLBH'!$C59)</f>
        <v>0</v>
      </c>
      <c r="I59" s="80" t="e">
        <f>'chia CN SX'!V58</f>
        <v>#REF!</v>
      </c>
      <c r="J59" s="81">
        <f t="shared" si="3"/>
        <v>0</v>
      </c>
      <c r="K59" s="81">
        <f t="shared" si="4"/>
        <v>0</v>
      </c>
      <c r="L59" s="81">
        <f t="shared" si="5"/>
        <v>0</v>
      </c>
    </row>
    <row r="60" spans="1:12">
      <c r="A60" s="421">
        <v>58</v>
      </c>
      <c r="B60" s="421"/>
      <c r="C60" s="421"/>
      <c r="D60" s="419">
        <f>SUMIFS(XLBH!I$2:I$19,XLBH!$B$2:$B$19,'chia CN XLBH'!$C60)</f>
        <v>0</v>
      </c>
      <c r="E60" s="419">
        <f>SUMIFS(XLBH!J$2:J$19,XLBH!$B$2:$B$19,'chia CN XLBH'!$C60)</f>
        <v>0</v>
      </c>
      <c r="F60" s="419">
        <f>SUMIFS(XLBH!K$2:K$19,XLBH!$B$2:$B$19,'chia CN XLBH'!$C60)</f>
        <v>0</v>
      </c>
      <c r="I60" s="80" t="e">
        <f>'chia CN SX'!V59</f>
        <v>#REF!</v>
      </c>
      <c r="J60" s="81">
        <f t="shared" si="3"/>
        <v>0</v>
      </c>
      <c r="K60" s="81">
        <f t="shared" si="4"/>
        <v>0</v>
      </c>
      <c r="L60" s="81">
        <f t="shared" si="5"/>
        <v>0</v>
      </c>
    </row>
    <row r="61" spans="1:12">
      <c r="A61" s="421">
        <v>59</v>
      </c>
      <c r="B61" s="421"/>
      <c r="C61" s="421"/>
      <c r="D61" s="419">
        <f>SUMIFS(XLBH!I$2:I$19,XLBH!$B$2:$B$19,'chia CN XLBH'!$C61)</f>
        <v>0</v>
      </c>
      <c r="E61" s="419">
        <f>SUMIFS(XLBH!J$2:J$19,XLBH!$B$2:$B$19,'chia CN XLBH'!$C61)</f>
        <v>0</v>
      </c>
      <c r="F61" s="419">
        <f>SUMIFS(XLBH!K$2:K$19,XLBH!$B$2:$B$19,'chia CN XLBH'!$C61)</f>
        <v>0</v>
      </c>
      <c r="I61" s="80" t="e">
        <f>'chia CN SX'!V60</f>
        <v>#REF!</v>
      </c>
      <c r="J61" s="81">
        <f t="shared" si="3"/>
        <v>0</v>
      </c>
      <c r="K61" s="81">
        <f t="shared" si="4"/>
        <v>0</v>
      </c>
      <c r="L61" s="81">
        <f t="shared" si="5"/>
        <v>0</v>
      </c>
    </row>
    <row r="62" spans="1:12">
      <c r="A62" s="421">
        <v>60</v>
      </c>
      <c r="B62" s="421"/>
      <c r="C62" s="421"/>
      <c r="D62" s="419">
        <f>SUMIFS(XLBH!I$2:I$19,XLBH!$B$2:$B$19,'chia CN XLBH'!$C62)</f>
        <v>0</v>
      </c>
      <c r="E62" s="419">
        <f>SUMIFS(XLBH!J$2:J$19,XLBH!$B$2:$B$19,'chia CN XLBH'!$C62)</f>
        <v>0</v>
      </c>
      <c r="F62" s="419">
        <f>SUMIFS(XLBH!K$2:K$19,XLBH!$B$2:$B$19,'chia CN XLBH'!$C62)</f>
        <v>0</v>
      </c>
      <c r="I62" s="80" t="e">
        <f>'chia CN SX'!V61</f>
        <v>#REF!</v>
      </c>
      <c r="J62" s="81">
        <f t="shared" si="3"/>
        <v>0</v>
      </c>
      <c r="K62" s="81">
        <f t="shared" si="4"/>
        <v>0</v>
      </c>
      <c r="L62" s="81">
        <f t="shared" si="5"/>
        <v>0</v>
      </c>
    </row>
    <row r="63" spans="1:12">
      <c r="A63" s="421">
        <v>61</v>
      </c>
      <c r="B63" s="421"/>
      <c r="C63" s="421"/>
      <c r="D63" s="419">
        <f>SUMIFS(XLBH!I$2:I$19,XLBH!$B$2:$B$19,'chia CN XLBH'!$C63)</f>
        <v>0</v>
      </c>
      <c r="E63" s="419">
        <f>SUMIFS(XLBH!J$2:J$19,XLBH!$B$2:$B$19,'chia CN XLBH'!$C63)</f>
        <v>0</v>
      </c>
      <c r="F63" s="419">
        <f>SUMIFS(XLBH!K$2:K$19,XLBH!$B$2:$B$19,'chia CN XLBH'!$C63)</f>
        <v>0</v>
      </c>
      <c r="I63" s="80" t="e">
        <f>'chia CN SX'!V62</f>
        <v>#REF!</v>
      </c>
      <c r="J63" s="81">
        <f t="shared" si="3"/>
        <v>0</v>
      </c>
      <c r="K63" s="81">
        <f t="shared" si="4"/>
        <v>0</v>
      </c>
      <c r="L63" s="81">
        <f t="shared" si="5"/>
        <v>0</v>
      </c>
    </row>
    <row r="64" spans="1:12">
      <c r="A64" s="421">
        <v>62</v>
      </c>
      <c r="B64" s="421"/>
      <c r="C64" s="421"/>
      <c r="D64" s="419">
        <f>SUMIFS(XLBH!I$2:I$19,XLBH!$B$2:$B$19,'chia CN XLBH'!$C64)</f>
        <v>0</v>
      </c>
      <c r="E64" s="419">
        <f>SUMIFS(XLBH!J$2:J$19,XLBH!$B$2:$B$19,'chia CN XLBH'!$C64)</f>
        <v>0</v>
      </c>
      <c r="F64" s="419">
        <f>SUMIFS(XLBH!K$2:K$19,XLBH!$B$2:$B$19,'chia CN XLBH'!$C64)</f>
        <v>0</v>
      </c>
      <c r="I64" s="80" t="e">
        <f>'chia CN SX'!V63</f>
        <v>#REF!</v>
      </c>
      <c r="J64" s="81">
        <f t="shared" si="3"/>
        <v>0</v>
      </c>
      <c r="K64" s="81">
        <f t="shared" si="4"/>
        <v>0</v>
      </c>
      <c r="L64" s="81">
        <f t="shared" si="5"/>
        <v>0</v>
      </c>
    </row>
    <row r="65" spans="1:12">
      <c r="A65" s="421">
        <v>63</v>
      </c>
      <c r="B65" s="421"/>
      <c r="C65" s="421"/>
      <c r="D65" s="419">
        <f>SUMIFS(XLBH!I$2:I$19,XLBH!$B$2:$B$19,'chia CN XLBH'!$C65)</f>
        <v>0</v>
      </c>
      <c r="E65" s="419">
        <f>SUMIFS(XLBH!J$2:J$19,XLBH!$B$2:$B$19,'chia CN XLBH'!$C65)</f>
        <v>0</v>
      </c>
      <c r="F65" s="419">
        <f>SUMIFS(XLBH!K$2:K$19,XLBH!$B$2:$B$19,'chia CN XLBH'!$C65)</f>
        <v>0</v>
      </c>
      <c r="I65" s="80" t="e">
        <f>'chia CN SX'!V64</f>
        <v>#REF!</v>
      </c>
      <c r="J65" s="81">
        <f t="shared" si="3"/>
        <v>0</v>
      </c>
      <c r="K65" s="81">
        <f t="shared" si="4"/>
        <v>0</v>
      </c>
      <c r="L65" s="81">
        <f t="shared" si="5"/>
        <v>0</v>
      </c>
    </row>
    <row r="66" spans="1:12">
      <c r="A66" s="421">
        <v>64</v>
      </c>
      <c r="B66" s="421"/>
      <c r="C66" s="421"/>
      <c r="D66" s="419">
        <f>SUMIFS(XLBH!I$2:I$19,XLBH!$B$2:$B$19,'chia CN XLBH'!$C66)</f>
        <v>0</v>
      </c>
      <c r="E66" s="419">
        <f>SUMIFS(XLBH!J$2:J$19,XLBH!$B$2:$B$19,'chia CN XLBH'!$C66)</f>
        <v>0</v>
      </c>
      <c r="F66" s="419">
        <f>SUMIFS(XLBH!K$2:K$19,XLBH!$B$2:$B$19,'chia CN XLBH'!$C66)</f>
        <v>0</v>
      </c>
      <c r="I66" s="80" t="e">
        <f>'chia CN SX'!V65</f>
        <v>#REF!</v>
      </c>
      <c r="J66" s="81">
        <f t="shared" si="3"/>
        <v>0</v>
      </c>
      <c r="K66" s="81">
        <f t="shared" si="4"/>
        <v>0</v>
      </c>
      <c r="L66" s="81">
        <f t="shared" si="5"/>
        <v>0</v>
      </c>
    </row>
    <row r="67" spans="1:12">
      <c r="A67" s="421">
        <v>65</v>
      </c>
      <c r="B67" s="421"/>
      <c r="C67" s="421"/>
      <c r="D67" s="419">
        <f>SUMIFS(XLBH!I$2:I$19,XLBH!$B$2:$B$19,'chia CN XLBH'!$C67)</f>
        <v>0</v>
      </c>
      <c r="E67" s="419">
        <f>SUMIFS(XLBH!J$2:J$19,XLBH!$B$2:$B$19,'chia CN XLBH'!$C67)</f>
        <v>0</v>
      </c>
      <c r="F67" s="419">
        <f>SUMIFS(XLBH!K$2:K$19,XLBH!$B$2:$B$19,'chia CN XLBH'!$C67)</f>
        <v>0</v>
      </c>
      <c r="I67" s="80" t="e">
        <f>'chia CN SX'!V66</f>
        <v>#REF!</v>
      </c>
      <c r="J67" s="81">
        <f t="shared" si="3"/>
        <v>0</v>
      </c>
      <c r="K67" s="81">
        <f t="shared" si="4"/>
        <v>0</v>
      </c>
      <c r="L67" s="81">
        <f t="shared" si="5"/>
        <v>0</v>
      </c>
    </row>
    <row r="68" spans="1:12">
      <c r="A68" s="421">
        <v>66</v>
      </c>
      <c r="B68" s="421"/>
      <c r="C68" s="421"/>
      <c r="D68" s="419">
        <f>SUMIFS(XLBH!I$2:I$19,XLBH!$B$2:$B$19,'chia CN XLBH'!$C68)</f>
        <v>0</v>
      </c>
      <c r="E68" s="419">
        <f>SUMIFS(XLBH!J$2:J$19,XLBH!$B$2:$B$19,'chia CN XLBH'!$C68)</f>
        <v>0</v>
      </c>
      <c r="F68" s="419">
        <f>SUMIFS(XLBH!K$2:K$19,XLBH!$B$2:$B$19,'chia CN XLBH'!$C68)</f>
        <v>0</v>
      </c>
      <c r="I68" s="80" t="e">
        <f>'chia CN SX'!V67</f>
        <v>#REF!</v>
      </c>
      <c r="J68" s="81">
        <f t="shared" si="3"/>
        <v>0</v>
      </c>
      <c r="K68" s="81">
        <f t="shared" si="4"/>
        <v>0</v>
      </c>
      <c r="L68" s="81">
        <f t="shared" si="5"/>
        <v>0</v>
      </c>
    </row>
    <row r="69" spans="1:12">
      <c r="A69" s="421">
        <v>67</v>
      </c>
      <c r="B69" s="421"/>
      <c r="C69" s="421"/>
      <c r="D69" s="419">
        <f>SUMIFS(XLBH!I$2:I$19,XLBH!$B$2:$B$19,'chia CN XLBH'!$C69)</f>
        <v>0</v>
      </c>
      <c r="E69" s="419">
        <f>SUMIFS(XLBH!J$2:J$19,XLBH!$B$2:$B$19,'chia CN XLBH'!$C69)</f>
        <v>0</v>
      </c>
      <c r="F69" s="419">
        <f>SUMIFS(XLBH!K$2:K$19,XLBH!$B$2:$B$19,'chia CN XLBH'!$C69)</f>
        <v>0</v>
      </c>
      <c r="I69" s="80" t="e">
        <f>'chia CN SX'!#REF!</f>
        <v>#REF!</v>
      </c>
      <c r="J69" s="81">
        <f t="shared" si="3"/>
        <v>0</v>
      </c>
      <c r="K69" s="81">
        <f t="shared" si="4"/>
        <v>0</v>
      </c>
      <c r="L69" s="81">
        <f t="shared" si="5"/>
        <v>0</v>
      </c>
    </row>
    <row r="70" spans="1:12">
      <c r="A70" s="421">
        <v>68</v>
      </c>
      <c r="B70" s="421"/>
      <c r="C70" s="421"/>
      <c r="D70" s="419">
        <f>SUMIFS(XLBH!I$2:I$19,XLBH!$B$2:$B$19,'chia CN XLBH'!$C70)</f>
        <v>0</v>
      </c>
      <c r="E70" s="419">
        <f>SUMIFS(XLBH!J$2:J$19,XLBH!$B$2:$B$19,'chia CN XLBH'!$C70)</f>
        <v>0</v>
      </c>
      <c r="F70" s="419">
        <f>SUMIFS(XLBH!K$2:K$19,XLBH!$B$2:$B$19,'chia CN XLBH'!$C70)</f>
        <v>0</v>
      </c>
      <c r="I70" s="80" t="e">
        <f>'chia CN SX'!V68</f>
        <v>#REF!</v>
      </c>
      <c r="J70" s="81">
        <f t="shared" si="3"/>
        <v>0</v>
      </c>
      <c r="K70" s="81">
        <f t="shared" si="4"/>
        <v>0</v>
      </c>
      <c r="L70" s="81">
        <f t="shared" si="5"/>
        <v>0</v>
      </c>
    </row>
    <row r="71" spans="1:12">
      <c r="A71" s="421">
        <v>69</v>
      </c>
      <c r="B71" s="421"/>
      <c r="C71" s="421"/>
      <c r="D71" s="419">
        <f>SUMIFS(XLBH!I$2:I$19,XLBH!$B$2:$B$19,'chia CN XLBH'!$C71)</f>
        <v>0</v>
      </c>
      <c r="E71" s="419">
        <f>SUMIFS(XLBH!J$2:J$19,XLBH!$B$2:$B$19,'chia CN XLBH'!$C71)</f>
        <v>0</v>
      </c>
      <c r="F71" s="419">
        <f>SUMIFS(XLBH!K$2:K$19,XLBH!$B$2:$B$19,'chia CN XLBH'!$C71)</f>
        <v>0</v>
      </c>
      <c r="I71" s="80" t="e">
        <f>'chia CN SX'!V69</f>
        <v>#REF!</v>
      </c>
      <c r="J71" s="81">
        <f t="shared" si="3"/>
        <v>0</v>
      </c>
      <c r="K71" s="81">
        <f t="shared" si="4"/>
        <v>0</v>
      </c>
      <c r="L71" s="81">
        <f t="shared" si="5"/>
        <v>0</v>
      </c>
    </row>
    <row r="72" spans="1:12">
      <c r="A72" s="421">
        <v>70</v>
      </c>
      <c r="B72" s="421"/>
      <c r="C72" s="421"/>
      <c r="D72" s="419">
        <f>SUMIFS(XLBH!I$2:I$19,XLBH!$B$2:$B$19,'chia CN XLBH'!$C72)</f>
        <v>0</v>
      </c>
      <c r="E72" s="419">
        <f>SUMIFS(XLBH!J$2:J$19,XLBH!$B$2:$B$19,'chia CN XLBH'!$C72)</f>
        <v>0</v>
      </c>
      <c r="F72" s="419">
        <f>SUMIFS(XLBH!K$2:K$19,XLBH!$B$2:$B$19,'chia CN XLBH'!$C72)</f>
        <v>0</v>
      </c>
      <c r="I72" s="80" t="e">
        <f>'chia CN SX'!V70</f>
        <v>#REF!</v>
      </c>
      <c r="J72" s="81">
        <f t="shared" si="3"/>
        <v>0</v>
      </c>
      <c r="K72" s="81">
        <f t="shared" si="4"/>
        <v>0</v>
      </c>
      <c r="L72" s="81">
        <f t="shared" si="5"/>
        <v>0</v>
      </c>
    </row>
    <row r="73" spans="1:12">
      <c r="A73" s="421">
        <v>71</v>
      </c>
      <c r="B73" s="421"/>
      <c r="C73" s="421"/>
      <c r="D73" s="419">
        <f>SUMIFS(XLBH!I$2:I$19,XLBH!$B$2:$B$19,'chia CN XLBH'!$C73)</f>
        <v>0</v>
      </c>
      <c r="E73" s="419">
        <f>SUMIFS(XLBH!J$2:J$19,XLBH!$B$2:$B$19,'chia CN XLBH'!$C73)</f>
        <v>0</v>
      </c>
      <c r="F73" s="419">
        <f>SUMIFS(XLBH!K$2:K$19,XLBH!$B$2:$B$19,'chia CN XLBH'!$C73)</f>
        <v>0</v>
      </c>
      <c r="I73" s="80" t="e">
        <f>'chia CN SX'!V71</f>
        <v>#REF!</v>
      </c>
      <c r="J73" s="81">
        <f t="shared" si="3"/>
        <v>0</v>
      </c>
      <c r="K73" s="81">
        <f t="shared" si="4"/>
        <v>0</v>
      </c>
      <c r="L73" s="81">
        <f t="shared" si="5"/>
        <v>0</v>
      </c>
    </row>
    <row r="74" spans="1:12">
      <c r="A74" s="421">
        <v>72</v>
      </c>
      <c r="B74" s="421"/>
      <c r="C74" s="421"/>
      <c r="D74" s="419">
        <f>SUMIFS(XLBH!I$2:I$19,XLBH!$B$2:$B$19,'chia CN XLBH'!$C74)</f>
        <v>0</v>
      </c>
      <c r="E74" s="419">
        <f>SUMIFS(XLBH!J$2:J$19,XLBH!$B$2:$B$19,'chia CN XLBH'!$C74)</f>
        <v>0</v>
      </c>
      <c r="F74" s="419">
        <f>SUMIFS(XLBH!K$2:K$19,XLBH!$B$2:$B$19,'chia CN XLBH'!$C74)</f>
        <v>0</v>
      </c>
      <c r="I74" s="80" t="e">
        <f>'chia CN SX'!#REF!</f>
        <v>#REF!</v>
      </c>
      <c r="J74" s="81">
        <f t="shared" si="3"/>
        <v>0</v>
      </c>
      <c r="K74" s="81">
        <f t="shared" si="4"/>
        <v>0</v>
      </c>
      <c r="L74" s="81">
        <f t="shared" si="5"/>
        <v>0</v>
      </c>
    </row>
    <row r="75" spans="1:12">
      <c r="A75" s="421">
        <v>73</v>
      </c>
      <c r="B75" s="421"/>
      <c r="C75" s="421"/>
      <c r="D75" s="419">
        <f>SUMIFS(XLBH!I$2:I$19,XLBH!$B$2:$B$19,'chia CN XLBH'!$C75)</f>
        <v>0</v>
      </c>
      <c r="E75" s="419">
        <f>SUMIFS(XLBH!J$2:J$19,XLBH!$B$2:$B$19,'chia CN XLBH'!$C75)</f>
        <v>0</v>
      </c>
      <c r="F75" s="419">
        <f>SUMIFS(XLBH!K$2:K$19,XLBH!$B$2:$B$19,'chia CN XLBH'!$C75)</f>
        <v>0</v>
      </c>
      <c r="I75" s="80" t="str">
        <f>'chia CN SX'!V72</f>
        <v>Hà Thanh Truyền</v>
      </c>
      <c r="J75" s="81">
        <f t="shared" si="3"/>
        <v>0</v>
      </c>
      <c r="K75" s="81">
        <f t="shared" si="4"/>
        <v>0</v>
      </c>
      <c r="L75" s="81">
        <f t="shared" si="5"/>
        <v>0</v>
      </c>
    </row>
    <row r="76" spans="1:12">
      <c r="A76" s="421">
        <v>74</v>
      </c>
      <c r="B76" s="421"/>
      <c r="C76" s="421"/>
      <c r="D76" s="419">
        <f>SUMIFS(XLBH!I$2:I$19,XLBH!$B$2:$B$19,'chia CN XLBH'!$C76)</f>
        <v>0</v>
      </c>
      <c r="E76" s="419">
        <f>SUMIFS(XLBH!J$2:J$19,XLBH!$B$2:$B$19,'chia CN XLBH'!$C76)</f>
        <v>0</v>
      </c>
      <c r="F76" s="419">
        <f>SUMIFS(XLBH!K$2:K$19,XLBH!$B$2:$B$19,'chia CN XLBH'!$C76)</f>
        <v>0</v>
      </c>
      <c r="I76" s="80">
        <f>'chia CN SX'!V73</f>
        <v>0</v>
      </c>
      <c r="J76" s="81">
        <f t="shared" si="3"/>
        <v>0</v>
      </c>
      <c r="K76" s="81">
        <f t="shared" si="4"/>
        <v>0</v>
      </c>
      <c r="L76" s="81">
        <f t="shared" si="5"/>
        <v>0</v>
      </c>
    </row>
    <row r="77" spans="1:12">
      <c r="A77" s="421">
        <v>75</v>
      </c>
      <c r="B77" s="421"/>
      <c r="C77" s="421"/>
      <c r="D77" s="419">
        <f>SUMIFS(XLBH!I$2:I$19,XLBH!$B$2:$B$19,'chia CN XLBH'!$C77)</f>
        <v>0</v>
      </c>
      <c r="E77" s="419">
        <f>SUMIFS(XLBH!J$2:J$19,XLBH!$B$2:$B$19,'chia CN XLBH'!$C77)</f>
        <v>0</v>
      </c>
      <c r="F77" s="419">
        <f>SUMIFS(XLBH!K$2:K$19,XLBH!$B$2:$B$19,'chia CN XLBH'!$C77)</f>
        <v>0</v>
      </c>
      <c r="I77" s="80">
        <f>'chia CN SX'!V74</f>
        <v>0</v>
      </c>
      <c r="J77" s="81">
        <f t="shared" si="3"/>
        <v>0</v>
      </c>
      <c r="K77" s="81">
        <f t="shared" si="4"/>
        <v>0</v>
      </c>
      <c r="L77" s="81">
        <f t="shared" si="5"/>
        <v>0</v>
      </c>
    </row>
    <row r="78" spans="1:12">
      <c r="A78" s="421">
        <v>76</v>
      </c>
      <c r="B78" s="421"/>
      <c r="C78" s="421"/>
      <c r="D78" s="419">
        <f>SUMIFS(XLBH!I$2:I$19,XLBH!$B$2:$B$19,'chia CN XLBH'!$C78)</f>
        <v>0</v>
      </c>
      <c r="E78" s="419">
        <f>SUMIFS(XLBH!J$2:J$19,XLBH!$B$2:$B$19,'chia CN XLBH'!$C78)</f>
        <v>0</v>
      </c>
      <c r="F78" s="419">
        <f>SUMIFS(XLBH!K$2:K$19,XLBH!$B$2:$B$19,'chia CN XLBH'!$C78)</f>
        <v>0</v>
      </c>
      <c r="I78" s="80">
        <f>'chia CN SX'!V75</f>
        <v>0</v>
      </c>
      <c r="J78" s="81">
        <f t="shared" si="3"/>
        <v>0</v>
      </c>
      <c r="K78" s="81">
        <f t="shared" si="4"/>
        <v>0</v>
      </c>
      <c r="L78" s="81">
        <f t="shared" si="5"/>
        <v>0</v>
      </c>
    </row>
    <row r="79" spans="1:12">
      <c r="A79" s="421">
        <v>77</v>
      </c>
      <c r="B79" s="421"/>
      <c r="C79" s="421"/>
      <c r="D79" s="419">
        <f>SUMIFS(XLBH!I$2:I$19,XLBH!$B$2:$B$19,'chia CN XLBH'!$C79)</f>
        <v>0</v>
      </c>
      <c r="E79" s="419">
        <f>SUMIFS(XLBH!J$2:J$19,XLBH!$B$2:$B$19,'chia CN XLBH'!$C79)</f>
        <v>0</v>
      </c>
      <c r="F79" s="419">
        <f>SUMIFS(XLBH!K$2:K$19,XLBH!$B$2:$B$19,'chia CN XLBH'!$C79)</f>
        <v>0</v>
      </c>
      <c r="I79" s="80">
        <f>'chia CN SX'!V76</f>
        <v>0</v>
      </c>
      <c r="J79" s="81">
        <f t="shared" si="3"/>
        <v>0</v>
      </c>
      <c r="K79" s="81">
        <f t="shared" si="4"/>
        <v>0</v>
      </c>
      <c r="L79" s="81">
        <f t="shared" si="5"/>
        <v>0</v>
      </c>
    </row>
    <row r="80" spans="1:12">
      <c r="A80" s="421">
        <v>78</v>
      </c>
      <c r="B80" s="421"/>
      <c r="C80" s="421"/>
      <c r="D80" s="419">
        <f>SUMIFS(XLBH!I$2:I$19,XLBH!$B$2:$B$19,'chia CN XLBH'!$C80)</f>
        <v>0</v>
      </c>
      <c r="E80" s="419">
        <f>SUMIFS(XLBH!J$2:J$19,XLBH!$B$2:$B$19,'chia CN XLBH'!$C80)</f>
        <v>0</v>
      </c>
      <c r="F80" s="419">
        <f>SUMIFS(XLBH!K$2:K$19,XLBH!$B$2:$B$19,'chia CN XLBH'!$C80)</f>
        <v>0</v>
      </c>
      <c r="I80" s="80">
        <f>'chia CN SX'!V77</f>
        <v>0</v>
      </c>
      <c r="J80" s="81">
        <f t="shared" si="3"/>
        <v>0</v>
      </c>
      <c r="K80" s="81">
        <f t="shared" si="4"/>
        <v>0</v>
      </c>
      <c r="L80" s="81">
        <f t="shared" si="5"/>
        <v>0</v>
      </c>
    </row>
    <row r="81" spans="1:12">
      <c r="A81" s="421">
        <v>79</v>
      </c>
      <c r="B81" s="421"/>
      <c r="C81" s="421"/>
      <c r="D81" s="419">
        <f>SUMIFS(XLBH!I$2:I$19,XLBH!$B$2:$B$19,'chia CN XLBH'!$C81)</f>
        <v>0</v>
      </c>
      <c r="E81" s="419">
        <f>SUMIFS(XLBH!J$2:J$19,XLBH!$B$2:$B$19,'chia CN XLBH'!$C81)</f>
        <v>0</v>
      </c>
      <c r="F81" s="419">
        <f>SUMIFS(XLBH!K$2:K$19,XLBH!$B$2:$B$19,'chia CN XLBH'!$C81)</f>
        <v>0</v>
      </c>
      <c r="I81" s="80">
        <f>'chia CN SX'!V78</f>
        <v>0</v>
      </c>
      <c r="J81" s="81">
        <f t="shared" si="3"/>
        <v>0</v>
      </c>
      <c r="K81" s="81">
        <f t="shared" si="4"/>
        <v>0</v>
      </c>
      <c r="L81" s="81">
        <f t="shared" si="5"/>
        <v>0</v>
      </c>
    </row>
    <row r="82" spans="1:12">
      <c r="A82" s="421">
        <v>80</v>
      </c>
      <c r="B82" s="421"/>
      <c r="C82" s="421"/>
      <c r="D82" s="419">
        <f>SUMIFS(XLBH!I$2:I$19,XLBH!$B$2:$B$19,'chia CN XLBH'!$C82)</f>
        <v>0</v>
      </c>
      <c r="E82" s="419">
        <f>SUMIFS(XLBH!J$2:J$19,XLBH!$B$2:$B$19,'chia CN XLBH'!$C82)</f>
        <v>0</v>
      </c>
      <c r="F82" s="419">
        <f>SUMIFS(XLBH!K$2:K$19,XLBH!$B$2:$B$19,'chia CN XLBH'!$C82)</f>
        <v>0</v>
      </c>
      <c r="I82" s="80">
        <f>'chia CN SX'!V79</f>
        <v>0</v>
      </c>
      <c r="J82" s="81">
        <f t="shared" si="3"/>
        <v>0</v>
      </c>
      <c r="K82" s="81">
        <f t="shared" si="4"/>
        <v>0</v>
      </c>
      <c r="L82" s="81">
        <f t="shared" si="5"/>
        <v>0</v>
      </c>
    </row>
    <row r="83" spans="1:12">
      <c r="A83" s="421">
        <v>81</v>
      </c>
      <c r="B83" s="421"/>
      <c r="C83" s="421"/>
      <c r="D83" s="419">
        <f>SUMIFS(XLBH!I$2:I$19,XLBH!$B$2:$B$19,'chia CN XLBH'!$C83)</f>
        <v>0</v>
      </c>
      <c r="E83" s="419">
        <f>SUMIFS(XLBH!J$2:J$19,XLBH!$B$2:$B$19,'chia CN XLBH'!$C83)</f>
        <v>0</v>
      </c>
      <c r="F83" s="419">
        <f>SUMIFS(XLBH!K$2:K$19,XLBH!$B$2:$B$19,'chia CN XLBH'!$C83)</f>
        <v>0</v>
      </c>
      <c r="I83" s="80">
        <f>'chia CN SX'!V80</f>
        <v>0</v>
      </c>
      <c r="J83" s="81">
        <f t="shared" ref="J83:J146" si="6">SUMIF($B$3:$B$169,$I83,D$3:D$169)</f>
        <v>0</v>
      </c>
      <c r="K83" s="81">
        <f t="shared" ref="K83:K146" si="7">SUMIF($B$3:$B$169,$I83,E$3:E$169)</f>
        <v>0</v>
      </c>
      <c r="L83" s="81">
        <f t="shared" ref="L83:L146" si="8">SUMIF($B$3:$B$169,$I83,F$3:F$169)</f>
        <v>0</v>
      </c>
    </row>
    <row r="84" spans="1:12">
      <c r="A84" s="421">
        <v>82</v>
      </c>
      <c r="B84" s="421"/>
      <c r="C84" s="421"/>
      <c r="D84" s="419">
        <f>SUMIFS(XLBH!I$2:I$19,XLBH!$B$2:$B$19,'chia CN XLBH'!$C84)</f>
        <v>0</v>
      </c>
      <c r="E84" s="419">
        <f>SUMIFS(XLBH!J$2:J$19,XLBH!$B$2:$B$19,'chia CN XLBH'!$C84)</f>
        <v>0</v>
      </c>
      <c r="F84" s="419">
        <f>SUMIFS(XLBH!K$2:K$19,XLBH!$B$2:$B$19,'chia CN XLBH'!$C84)</f>
        <v>0</v>
      </c>
      <c r="I84" s="80">
        <f>'chia CN SX'!V81</f>
        <v>0</v>
      </c>
      <c r="J84" s="81">
        <f t="shared" si="6"/>
        <v>0</v>
      </c>
      <c r="K84" s="81">
        <f t="shared" si="7"/>
        <v>0</v>
      </c>
      <c r="L84" s="81">
        <f t="shared" si="8"/>
        <v>0</v>
      </c>
    </row>
    <row r="85" spans="1:12">
      <c r="A85" s="421">
        <v>83</v>
      </c>
      <c r="B85" s="421"/>
      <c r="C85" s="421"/>
      <c r="D85" s="419">
        <f>SUMIFS(XLBH!I$2:I$19,XLBH!$B$2:$B$19,'chia CN XLBH'!$C85)</f>
        <v>0</v>
      </c>
      <c r="E85" s="419">
        <f>SUMIFS(XLBH!J$2:J$19,XLBH!$B$2:$B$19,'chia CN XLBH'!$C85)</f>
        <v>0</v>
      </c>
      <c r="F85" s="419">
        <f>SUMIFS(XLBH!K$2:K$19,XLBH!$B$2:$B$19,'chia CN XLBH'!$C85)</f>
        <v>0</v>
      </c>
      <c r="I85" s="80">
        <f>'chia CN SX'!V82</f>
        <v>0</v>
      </c>
      <c r="J85" s="81">
        <f t="shared" si="6"/>
        <v>0</v>
      </c>
      <c r="K85" s="81">
        <f t="shared" si="7"/>
        <v>0</v>
      </c>
      <c r="L85" s="81">
        <f t="shared" si="8"/>
        <v>0</v>
      </c>
    </row>
    <row r="86" spans="1:12">
      <c r="A86" s="421">
        <v>84</v>
      </c>
      <c r="B86" s="421"/>
      <c r="C86" s="421"/>
      <c r="D86" s="419">
        <f>SUMIFS(XLBH!I$2:I$19,XLBH!$B$2:$B$19,'chia CN XLBH'!$C86)</f>
        <v>0</v>
      </c>
      <c r="E86" s="419">
        <f>SUMIFS(XLBH!J$2:J$19,XLBH!$B$2:$B$19,'chia CN XLBH'!$C86)</f>
        <v>0</v>
      </c>
      <c r="F86" s="419">
        <f>SUMIFS(XLBH!K$2:K$19,XLBH!$B$2:$B$19,'chia CN XLBH'!$C86)</f>
        <v>0</v>
      </c>
      <c r="I86" s="80">
        <f>'chia CN SX'!V83</f>
        <v>0</v>
      </c>
      <c r="J86" s="81">
        <f t="shared" si="6"/>
        <v>0</v>
      </c>
      <c r="K86" s="81">
        <f t="shared" si="7"/>
        <v>0</v>
      </c>
      <c r="L86" s="81">
        <f t="shared" si="8"/>
        <v>0</v>
      </c>
    </row>
    <row r="87" spans="1:12">
      <c r="A87" s="421">
        <v>85</v>
      </c>
      <c r="B87" s="421"/>
      <c r="C87" s="421"/>
      <c r="D87" s="419">
        <f>SUMIFS(XLBH!I$2:I$19,XLBH!$B$2:$B$19,'chia CN XLBH'!$C87)</f>
        <v>0</v>
      </c>
      <c r="E87" s="419">
        <f>SUMIFS(XLBH!J$2:J$19,XLBH!$B$2:$B$19,'chia CN XLBH'!$C87)</f>
        <v>0</v>
      </c>
      <c r="F87" s="419">
        <f>SUMIFS(XLBH!K$2:K$19,XLBH!$B$2:$B$19,'chia CN XLBH'!$C87)</f>
        <v>0</v>
      </c>
      <c r="I87" s="80">
        <f>'chia CN SX'!V84</f>
        <v>0</v>
      </c>
      <c r="J87" s="81">
        <f t="shared" si="6"/>
        <v>0</v>
      </c>
      <c r="K87" s="81">
        <f t="shared" si="7"/>
        <v>0</v>
      </c>
      <c r="L87" s="81">
        <f t="shared" si="8"/>
        <v>0</v>
      </c>
    </row>
    <row r="88" spans="1:12">
      <c r="A88" s="421">
        <v>86</v>
      </c>
      <c r="B88" s="421"/>
      <c r="C88" s="421"/>
      <c r="D88" s="419">
        <f>SUMIFS(XLBH!I$2:I$19,XLBH!$B$2:$B$19,'chia CN XLBH'!$C88)</f>
        <v>0</v>
      </c>
      <c r="E88" s="419">
        <f>SUMIFS(XLBH!J$2:J$19,XLBH!$B$2:$B$19,'chia CN XLBH'!$C88)</f>
        <v>0</v>
      </c>
      <c r="F88" s="419">
        <f>SUMIFS(XLBH!K$2:K$19,XLBH!$B$2:$B$19,'chia CN XLBH'!$C88)</f>
        <v>0</v>
      </c>
      <c r="I88" s="80">
        <f>'chia CN SX'!V85</f>
        <v>0</v>
      </c>
      <c r="J88" s="81">
        <f t="shared" si="6"/>
        <v>0</v>
      </c>
      <c r="K88" s="81">
        <f t="shared" si="7"/>
        <v>0</v>
      </c>
      <c r="L88" s="81">
        <f t="shared" si="8"/>
        <v>0</v>
      </c>
    </row>
    <row r="89" spans="1:12">
      <c r="A89" s="421">
        <v>87</v>
      </c>
      <c r="B89" s="421"/>
      <c r="C89" s="421"/>
      <c r="D89" s="419">
        <f>SUMIFS(XLBH!I$2:I$19,XLBH!$B$2:$B$19,'chia CN XLBH'!$C89)</f>
        <v>0</v>
      </c>
      <c r="E89" s="419">
        <f>SUMIFS(XLBH!J$2:J$19,XLBH!$B$2:$B$19,'chia CN XLBH'!$C89)</f>
        <v>0</v>
      </c>
      <c r="F89" s="419">
        <f>SUMIFS(XLBH!K$2:K$19,XLBH!$B$2:$B$19,'chia CN XLBH'!$C89)</f>
        <v>0</v>
      </c>
      <c r="I89" s="80">
        <f>'chia CN SX'!V86</f>
        <v>0</v>
      </c>
      <c r="J89" s="81">
        <f t="shared" si="6"/>
        <v>0</v>
      </c>
      <c r="K89" s="81">
        <f t="shared" si="7"/>
        <v>0</v>
      </c>
      <c r="L89" s="81">
        <f t="shared" si="8"/>
        <v>0</v>
      </c>
    </row>
    <row r="90" spans="1:12">
      <c r="A90" s="421">
        <v>88</v>
      </c>
      <c r="B90" s="421"/>
      <c r="C90" s="421"/>
      <c r="D90" s="419">
        <f>SUMIFS(XLBH!I$2:I$19,XLBH!$B$2:$B$19,'chia CN XLBH'!$C90)</f>
        <v>0</v>
      </c>
      <c r="E90" s="419">
        <f>SUMIFS(XLBH!J$2:J$19,XLBH!$B$2:$B$19,'chia CN XLBH'!$C90)</f>
        <v>0</v>
      </c>
      <c r="F90" s="419">
        <f>SUMIFS(XLBH!K$2:K$19,XLBH!$B$2:$B$19,'chia CN XLBH'!$C90)</f>
        <v>0</v>
      </c>
      <c r="I90" s="80">
        <f>'chia CN SX'!V87</f>
        <v>0</v>
      </c>
      <c r="J90" s="81">
        <f t="shared" si="6"/>
        <v>0</v>
      </c>
      <c r="K90" s="81">
        <f t="shared" si="7"/>
        <v>0</v>
      </c>
      <c r="L90" s="81">
        <f t="shared" si="8"/>
        <v>0</v>
      </c>
    </row>
    <row r="91" spans="1:12">
      <c r="A91" s="421">
        <v>89</v>
      </c>
      <c r="B91" s="421"/>
      <c r="C91" s="421"/>
      <c r="D91" s="419">
        <f>SUMIFS(XLBH!I$2:I$19,XLBH!$B$2:$B$19,'chia CN XLBH'!$C91)</f>
        <v>0</v>
      </c>
      <c r="E91" s="419">
        <f>SUMIFS(XLBH!J$2:J$19,XLBH!$B$2:$B$19,'chia CN XLBH'!$C91)</f>
        <v>0</v>
      </c>
      <c r="F91" s="419">
        <f>SUMIFS(XLBH!K$2:K$19,XLBH!$B$2:$B$19,'chia CN XLBH'!$C91)</f>
        <v>0</v>
      </c>
      <c r="I91" s="80">
        <f>'chia CN SX'!V88</f>
        <v>0</v>
      </c>
      <c r="J91" s="81">
        <f t="shared" si="6"/>
        <v>0</v>
      </c>
      <c r="K91" s="81">
        <f t="shared" si="7"/>
        <v>0</v>
      </c>
      <c r="L91" s="81">
        <f t="shared" si="8"/>
        <v>0</v>
      </c>
    </row>
    <row r="92" spans="1:12">
      <c r="A92" s="421">
        <v>90</v>
      </c>
      <c r="B92" s="421"/>
      <c r="C92" s="421"/>
      <c r="D92" s="419">
        <f>SUMIFS(XLBH!I$2:I$19,XLBH!$B$2:$B$19,'chia CN XLBH'!$C92)</f>
        <v>0</v>
      </c>
      <c r="E92" s="419">
        <f>SUMIFS(XLBH!J$2:J$19,XLBH!$B$2:$B$19,'chia CN XLBH'!$C92)</f>
        <v>0</v>
      </c>
      <c r="F92" s="419">
        <f>SUMIFS(XLBH!K$2:K$19,XLBH!$B$2:$B$19,'chia CN XLBH'!$C92)</f>
        <v>0</v>
      </c>
      <c r="I92" s="80">
        <f>'chia CN SX'!V89</f>
        <v>0</v>
      </c>
      <c r="J92" s="81">
        <f t="shared" si="6"/>
        <v>0</v>
      </c>
      <c r="K92" s="81">
        <f t="shared" si="7"/>
        <v>0</v>
      </c>
      <c r="L92" s="81">
        <f t="shared" si="8"/>
        <v>0</v>
      </c>
    </row>
    <row r="93" spans="1:12">
      <c r="A93" s="421">
        <v>91</v>
      </c>
      <c r="B93" s="421"/>
      <c r="C93" s="421"/>
      <c r="D93" s="419">
        <f>SUMIFS(XLBH!I$2:I$19,XLBH!$B$2:$B$19,'chia CN XLBH'!$C93)</f>
        <v>0</v>
      </c>
      <c r="E93" s="419">
        <f>SUMIFS(XLBH!J$2:J$19,XLBH!$B$2:$B$19,'chia CN XLBH'!$C93)</f>
        <v>0</v>
      </c>
      <c r="F93" s="419">
        <f>SUMIFS(XLBH!K$2:K$19,XLBH!$B$2:$B$19,'chia CN XLBH'!$C93)</f>
        <v>0</v>
      </c>
      <c r="I93" s="80">
        <f>'chia CN SX'!V90</f>
        <v>0</v>
      </c>
      <c r="J93" s="81">
        <f t="shared" si="6"/>
        <v>0</v>
      </c>
      <c r="K93" s="81">
        <f t="shared" si="7"/>
        <v>0</v>
      </c>
      <c r="L93" s="81">
        <f t="shared" si="8"/>
        <v>0</v>
      </c>
    </row>
    <row r="94" spans="1:12">
      <c r="A94" s="421">
        <v>92</v>
      </c>
      <c r="B94" s="421"/>
      <c r="C94" s="421"/>
      <c r="D94" s="419">
        <f>SUMIFS(XLBH!I$2:I$19,XLBH!$B$2:$B$19,'chia CN XLBH'!$C94)</f>
        <v>0</v>
      </c>
      <c r="E94" s="419">
        <f>SUMIFS(XLBH!J$2:J$19,XLBH!$B$2:$B$19,'chia CN XLBH'!$C94)</f>
        <v>0</v>
      </c>
      <c r="F94" s="419">
        <f>SUMIFS(XLBH!K$2:K$19,XLBH!$B$2:$B$19,'chia CN XLBH'!$C94)</f>
        <v>0</v>
      </c>
      <c r="I94" s="80">
        <f>'chia CN SX'!V91</f>
        <v>0</v>
      </c>
      <c r="J94" s="81">
        <f t="shared" si="6"/>
        <v>0</v>
      </c>
      <c r="K94" s="81">
        <f t="shared" si="7"/>
        <v>0</v>
      </c>
      <c r="L94" s="81">
        <f t="shared" si="8"/>
        <v>0</v>
      </c>
    </row>
    <row r="95" spans="1:12">
      <c r="A95" s="421">
        <v>93</v>
      </c>
      <c r="B95" s="421"/>
      <c r="C95" s="421"/>
      <c r="D95" s="419">
        <f>SUMIFS(XLBH!I$2:I$19,XLBH!$B$2:$B$19,'chia CN XLBH'!$C95)</f>
        <v>0</v>
      </c>
      <c r="E95" s="419">
        <f>SUMIFS(XLBH!J$2:J$19,XLBH!$B$2:$B$19,'chia CN XLBH'!$C95)</f>
        <v>0</v>
      </c>
      <c r="F95" s="419">
        <f>SUMIFS(XLBH!K$2:K$19,XLBH!$B$2:$B$19,'chia CN XLBH'!$C95)</f>
        <v>0</v>
      </c>
      <c r="I95" s="80">
        <f>'chia CN SX'!V92</f>
        <v>0</v>
      </c>
      <c r="J95" s="81">
        <f t="shared" si="6"/>
        <v>0</v>
      </c>
      <c r="K95" s="81">
        <f t="shared" si="7"/>
        <v>0</v>
      </c>
      <c r="L95" s="81">
        <f t="shared" si="8"/>
        <v>0</v>
      </c>
    </row>
    <row r="96" spans="1:12">
      <c r="A96" s="421">
        <v>94</v>
      </c>
      <c r="B96" s="421"/>
      <c r="C96" s="421"/>
      <c r="D96" s="419">
        <f>SUMIFS(XLBH!I$2:I$19,XLBH!$B$2:$B$19,'chia CN XLBH'!$C96)</f>
        <v>0</v>
      </c>
      <c r="E96" s="419">
        <f>SUMIFS(XLBH!J$2:J$19,XLBH!$B$2:$B$19,'chia CN XLBH'!$C96)</f>
        <v>0</v>
      </c>
      <c r="F96" s="419">
        <f>SUMIFS(XLBH!K$2:K$19,XLBH!$B$2:$B$19,'chia CN XLBH'!$C96)</f>
        <v>0</v>
      </c>
      <c r="I96" s="80">
        <f>'chia CN SX'!V93</f>
        <v>0</v>
      </c>
      <c r="J96" s="81">
        <f t="shared" si="6"/>
        <v>0</v>
      </c>
      <c r="K96" s="81">
        <f t="shared" si="7"/>
        <v>0</v>
      </c>
      <c r="L96" s="81">
        <f t="shared" si="8"/>
        <v>0</v>
      </c>
    </row>
    <row r="97" spans="1:12">
      <c r="A97" s="421">
        <v>95</v>
      </c>
      <c r="B97" s="421"/>
      <c r="C97" s="421"/>
      <c r="D97" s="419">
        <f>SUMIFS(XLBH!I$2:I$19,XLBH!$B$2:$B$19,'chia CN XLBH'!$C97)</f>
        <v>0</v>
      </c>
      <c r="E97" s="419">
        <f>SUMIFS(XLBH!J$2:J$19,XLBH!$B$2:$B$19,'chia CN XLBH'!$C97)</f>
        <v>0</v>
      </c>
      <c r="F97" s="419">
        <f>SUMIFS(XLBH!K$2:K$19,XLBH!$B$2:$B$19,'chia CN XLBH'!$C97)</f>
        <v>0</v>
      </c>
      <c r="I97" s="80">
        <f>'chia CN SX'!V94</f>
        <v>0</v>
      </c>
      <c r="J97" s="81">
        <f t="shared" si="6"/>
        <v>0</v>
      </c>
      <c r="K97" s="81">
        <f t="shared" si="7"/>
        <v>0</v>
      </c>
      <c r="L97" s="81">
        <f t="shared" si="8"/>
        <v>0</v>
      </c>
    </row>
    <row r="98" spans="1:12">
      <c r="A98" s="421">
        <v>96</v>
      </c>
      <c r="B98" s="421"/>
      <c r="C98" s="421"/>
      <c r="D98" s="419">
        <f>SUMIFS(XLBH!I$2:I$19,XLBH!$B$2:$B$19,'chia CN XLBH'!$C98)</f>
        <v>0</v>
      </c>
      <c r="E98" s="419">
        <f>SUMIFS(XLBH!J$2:J$19,XLBH!$B$2:$B$19,'chia CN XLBH'!$C98)</f>
        <v>0</v>
      </c>
      <c r="F98" s="419">
        <f>SUMIFS(XLBH!K$2:K$19,XLBH!$B$2:$B$19,'chia CN XLBH'!$C98)</f>
        <v>0</v>
      </c>
      <c r="I98" s="80">
        <f>'chia CN SX'!V95</f>
        <v>0</v>
      </c>
      <c r="J98" s="81">
        <f t="shared" si="6"/>
        <v>0</v>
      </c>
      <c r="K98" s="81">
        <f t="shared" si="7"/>
        <v>0</v>
      </c>
      <c r="L98" s="81">
        <f t="shared" si="8"/>
        <v>0</v>
      </c>
    </row>
    <row r="99" spans="1:12">
      <c r="A99" s="421">
        <v>97</v>
      </c>
      <c r="B99" s="421"/>
      <c r="C99" s="421"/>
      <c r="D99" s="419">
        <f>SUMIFS(XLBH!I$2:I$19,XLBH!$B$2:$B$19,'chia CN XLBH'!$C99)</f>
        <v>0</v>
      </c>
      <c r="E99" s="419">
        <f>SUMIFS(XLBH!J$2:J$19,XLBH!$B$2:$B$19,'chia CN XLBH'!$C99)</f>
        <v>0</v>
      </c>
      <c r="F99" s="419">
        <f>SUMIFS(XLBH!K$2:K$19,XLBH!$B$2:$B$19,'chia CN XLBH'!$C99)</f>
        <v>0</v>
      </c>
      <c r="I99" s="80">
        <f>'chia CN SX'!V96</f>
        <v>0</v>
      </c>
      <c r="J99" s="81">
        <f t="shared" si="6"/>
        <v>0</v>
      </c>
      <c r="K99" s="81">
        <f t="shared" si="7"/>
        <v>0</v>
      </c>
      <c r="L99" s="81">
        <f t="shared" si="8"/>
        <v>0</v>
      </c>
    </row>
    <row r="100" spans="1:12">
      <c r="A100" s="421">
        <v>98</v>
      </c>
      <c r="B100" s="421"/>
      <c r="C100" s="421"/>
      <c r="D100" s="419">
        <f>SUMIFS(XLBH!I$2:I$19,XLBH!$B$2:$B$19,'chia CN XLBH'!$C100)</f>
        <v>0</v>
      </c>
      <c r="E100" s="419">
        <f>SUMIFS(XLBH!J$2:J$19,XLBH!$B$2:$B$19,'chia CN XLBH'!$C100)</f>
        <v>0</v>
      </c>
      <c r="F100" s="419">
        <f>SUMIFS(XLBH!K$2:K$19,XLBH!$B$2:$B$19,'chia CN XLBH'!$C100)</f>
        <v>0</v>
      </c>
      <c r="I100" s="80">
        <f>'chia CN SX'!V97</f>
        <v>0</v>
      </c>
      <c r="J100" s="81">
        <f t="shared" si="6"/>
        <v>0</v>
      </c>
      <c r="K100" s="81">
        <f t="shared" si="7"/>
        <v>0</v>
      </c>
      <c r="L100" s="81">
        <f t="shared" si="8"/>
        <v>0</v>
      </c>
    </row>
    <row r="101" spans="1:12">
      <c r="A101" s="421">
        <v>99</v>
      </c>
      <c r="B101" s="421"/>
      <c r="C101" s="421"/>
      <c r="D101" s="419">
        <f>SUMIFS(XLBH!I$2:I$19,XLBH!$B$2:$B$19,'chia CN XLBH'!$C101)</f>
        <v>0</v>
      </c>
      <c r="E101" s="419">
        <f>SUMIFS(XLBH!J$2:J$19,XLBH!$B$2:$B$19,'chia CN XLBH'!$C101)</f>
        <v>0</v>
      </c>
      <c r="F101" s="419">
        <f>SUMIFS(XLBH!K$2:K$19,XLBH!$B$2:$B$19,'chia CN XLBH'!$C101)</f>
        <v>0</v>
      </c>
      <c r="I101" s="80">
        <f>'chia CN SX'!V98</f>
        <v>0</v>
      </c>
      <c r="J101" s="81">
        <f t="shared" si="6"/>
        <v>0</v>
      </c>
      <c r="K101" s="81">
        <f t="shared" si="7"/>
        <v>0</v>
      </c>
      <c r="L101" s="81">
        <f t="shared" si="8"/>
        <v>0</v>
      </c>
    </row>
    <row r="102" spans="1:12">
      <c r="A102" s="421">
        <v>100</v>
      </c>
      <c r="B102" s="421"/>
      <c r="C102" s="421"/>
      <c r="D102" s="419">
        <f>SUMIFS(XLBH!I$2:I$19,XLBH!$B$2:$B$19,'chia CN XLBH'!$C102)</f>
        <v>0</v>
      </c>
      <c r="E102" s="419">
        <f>SUMIFS(XLBH!J$2:J$19,XLBH!$B$2:$B$19,'chia CN XLBH'!$C102)</f>
        <v>0</v>
      </c>
      <c r="F102" s="419">
        <f>SUMIFS(XLBH!K$2:K$19,XLBH!$B$2:$B$19,'chia CN XLBH'!$C102)</f>
        <v>0</v>
      </c>
      <c r="I102" s="80">
        <f>'chia CN SX'!V99</f>
        <v>0</v>
      </c>
      <c r="J102" s="81">
        <f t="shared" si="6"/>
        <v>0</v>
      </c>
      <c r="K102" s="81">
        <f t="shared" si="7"/>
        <v>0</v>
      </c>
      <c r="L102" s="81">
        <f t="shared" si="8"/>
        <v>0</v>
      </c>
    </row>
    <row r="103" spans="1:12">
      <c r="A103" s="421">
        <v>101</v>
      </c>
      <c r="B103" s="421"/>
      <c r="C103" s="421"/>
      <c r="D103" s="419">
        <f>SUMIFS(XLBH!I$2:I$19,XLBH!$B$2:$B$19,'chia CN XLBH'!$C103)</f>
        <v>0</v>
      </c>
      <c r="E103" s="419">
        <f>SUMIFS(XLBH!J$2:J$19,XLBH!$B$2:$B$19,'chia CN XLBH'!$C103)</f>
        <v>0</v>
      </c>
      <c r="F103" s="419">
        <f>SUMIFS(XLBH!K$2:K$19,XLBH!$B$2:$B$19,'chia CN XLBH'!$C103)</f>
        <v>0</v>
      </c>
      <c r="I103" s="80">
        <f>'chia CN SX'!V100</f>
        <v>0</v>
      </c>
      <c r="J103" s="81">
        <f t="shared" si="6"/>
        <v>0</v>
      </c>
      <c r="K103" s="81">
        <f t="shared" si="7"/>
        <v>0</v>
      </c>
      <c r="L103" s="81">
        <f t="shared" si="8"/>
        <v>0</v>
      </c>
    </row>
    <row r="104" spans="1:12">
      <c r="A104" s="421">
        <v>102</v>
      </c>
      <c r="B104" s="421"/>
      <c r="C104" s="421"/>
      <c r="D104" s="419">
        <f>SUMIFS(XLBH!I$2:I$19,XLBH!$B$2:$B$19,'chia CN XLBH'!$C104)</f>
        <v>0</v>
      </c>
      <c r="E104" s="419">
        <f>SUMIFS(XLBH!J$2:J$19,XLBH!$B$2:$B$19,'chia CN XLBH'!$C104)</f>
        <v>0</v>
      </c>
      <c r="F104" s="419">
        <f>SUMIFS(XLBH!K$2:K$19,XLBH!$B$2:$B$19,'chia CN XLBH'!$C104)</f>
        <v>0</v>
      </c>
      <c r="I104" s="80">
        <f>'chia CN SX'!V101</f>
        <v>0</v>
      </c>
      <c r="J104" s="81">
        <f t="shared" si="6"/>
        <v>0</v>
      </c>
      <c r="K104" s="81">
        <f t="shared" si="7"/>
        <v>0</v>
      </c>
      <c r="L104" s="81">
        <f t="shared" si="8"/>
        <v>0</v>
      </c>
    </row>
    <row r="105" spans="1:12">
      <c r="A105" s="421">
        <v>103</v>
      </c>
      <c r="B105" s="421"/>
      <c r="C105" s="421"/>
      <c r="D105" s="419">
        <f>SUMIFS(XLBH!I$2:I$19,XLBH!$B$2:$B$19,'chia CN XLBH'!$C105)</f>
        <v>0</v>
      </c>
      <c r="E105" s="419">
        <f>SUMIFS(XLBH!J$2:J$19,XLBH!$B$2:$B$19,'chia CN XLBH'!$C105)</f>
        <v>0</v>
      </c>
      <c r="F105" s="419">
        <f>SUMIFS(XLBH!K$2:K$19,XLBH!$B$2:$B$19,'chia CN XLBH'!$C105)</f>
        <v>0</v>
      </c>
      <c r="I105" s="80">
        <f>'chia CN SX'!V102</f>
        <v>0</v>
      </c>
      <c r="J105" s="81">
        <f t="shared" si="6"/>
        <v>0</v>
      </c>
      <c r="K105" s="81">
        <f t="shared" si="7"/>
        <v>0</v>
      </c>
      <c r="L105" s="81">
        <f t="shared" si="8"/>
        <v>0</v>
      </c>
    </row>
    <row r="106" spans="1:12">
      <c r="A106" s="421">
        <v>104</v>
      </c>
      <c r="B106" s="421"/>
      <c r="C106" s="421"/>
      <c r="D106" s="419">
        <f>SUMIFS(XLBH!I$2:I$19,XLBH!$B$2:$B$19,'chia CN XLBH'!$C106)</f>
        <v>0</v>
      </c>
      <c r="E106" s="419">
        <f>SUMIFS(XLBH!J$2:J$19,XLBH!$B$2:$B$19,'chia CN XLBH'!$C106)</f>
        <v>0</v>
      </c>
      <c r="F106" s="419">
        <f>SUMIFS(XLBH!K$2:K$19,XLBH!$B$2:$B$19,'chia CN XLBH'!$C106)</f>
        <v>0</v>
      </c>
      <c r="I106" s="80">
        <f>'chia CN SX'!V103</f>
        <v>0</v>
      </c>
      <c r="J106" s="81">
        <f t="shared" si="6"/>
        <v>0</v>
      </c>
      <c r="K106" s="81">
        <f t="shared" si="7"/>
        <v>0</v>
      </c>
      <c r="L106" s="81">
        <f t="shared" si="8"/>
        <v>0</v>
      </c>
    </row>
    <row r="107" spans="1:12">
      <c r="A107" s="421">
        <v>105</v>
      </c>
      <c r="B107" s="421"/>
      <c r="C107" s="421"/>
      <c r="D107" s="419">
        <f>SUMIFS(XLBH!I$2:I$19,XLBH!$B$2:$B$19,'chia CN XLBH'!$C107)</f>
        <v>0</v>
      </c>
      <c r="E107" s="419">
        <f>SUMIFS(XLBH!J$2:J$19,XLBH!$B$2:$B$19,'chia CN XLBH'!$C107)</f>
        <v>0</v>
      </c>
      <c r="F107" s="419">
        <f>SUMIFS(XLBH!K$2:K$19,XLBH!$B$2:$B$19,'chia CN XLBH'!$C107)</f>
        <v>0</v>
      </c>
      <c r="I107" s="80">
        <f>'chia CN SX'!V104</f>
        <v>0</v>
      </c>
      <c r="J107" s="81">
        <f t="shared" si="6"/>
        <v>0</v>
      </c>
      <c r="K107" s="81">
        <f t="shared" si="7"/>
        <v>0</v>
      </c>
      <c r="L107" s="81">
        <f t="shared" si="8"/>
        <v>0</v>
      </c>
    </row>
    <row r="108" spans="1:12">
      <c r="A108" s="421">
        <v>106</v>
      </c>
      <c r="B108" s="421"/>
      <c r="C108" s="421"/>
      <c r="D108" s="419">
        <f>SUMIFS(XLBH!I$2:I$19,XLBH!$B$2:$B$19,'chia CN XLBH'!$C108)</f>
        <v>0</v>
      </c>
      <c r="E108" s="419">
        <f>SUMIFS(XLBH!J$2:J$19,XLBH!$B$2:$B$19,'chia CN XLBH'!$C108)</f>
        <v>0</v>
      </c>
      <c r="F108" s="419">
        <f>SUMIFS(XLBH!K$2:K$19,XLBH!$B$2:$B$19,'chia CN XLBH'!$C108)</f>
        <v>0</v>
      </c>
      <c r="I108" s="80">
        <f>'chia CN SX'!V105</f>
        <v>0</v>
      </c>
      <c r="J108" s="81">
        <f t="shared" si="6"/>
        <v>0</v>
      </c>
      <c r="K108" s="81">
        <f t="shared" si="7"/>
        <v>0</v>
      </c>
      <c r="L108" s="81">
        <f t="shared" si="8"/>
        <v>0</v>
      </c>
    </row>
    <row r="109" spans="1:12">
      <c r="A109" s="421">
        <v>107</v>
      </c>
      <c r="B109" s="421"/>
      <c r="C109" s="421"/>
      <c r="D109" s="419">
        <f>SUMIFS(XLBH!I$2:I$19,XLBH!$B$2:$B$19,'chia CN XLBH'!$C109)</f>
        <v>0</v>
      </c>
      <c r="E109" s="419">
        <f>SUMIFS(XLBH!J$2:J$19,XLBH!$B$2:$B$19,'chia CN XLBH'!$C109)</f>
        <v>0</v>
      </c>
      <c r="F109" s="419">
        <f>SUMIFS(XLBH!K$2:K$19,XLBH!$B$2:$B$19,'chia CN XLBH'!$C109)</f>
        <v>0</v>
      </c>
      <c r="I109" s="80">
        <f>'chia CN SX'!V106</f>
        <v>0</v>
      </c>
      <c r="J109" s="81">
        <f t="shared" si="6"/>
        <v>0</v>
      </c>
      <c r="K109" s="81">
        <f t="shared" si="7"/>
        <v>0</v>
      </c>
      <c r="L109" s="81">
        <f t="shared" si="8"/>
        <v>0</v>
      </c>
    </row>
    <row r="110" spans="1:12">
      <c r="A110" s="421">
        <v>108</v>
      </c>
      <c r="B110" s="421"/>
      <c r="C110" s="421"/>
      <c r="D110" s="419">
        <f>SUMIFS(XLBH!I$2:I$19,XLBH!$B$2:$B$19,'chia CN XLBH'!$C110)</f>
        <v>0</v>
      </c>
      <c r="E110" s="419">
        <f>SUMIFS(XLBH!J$2:J$19,XLBH!$B$2:$B$19,'chia CN XLBH'!$C110)</f>
        <v>0</v>
      </c>
      <c r="F110" s="419">
        <f>SUMIFS(XLBH!K$2:K$19,XLBH!$B$2:$B$19,'chia CN XLBH'!$C110)</f>
        <v>0</v>
      </c>
      <c r="I110" s="80">
        <f>'chia CN SX'!V107</f>
        <v>0</v>
      </c>
      <c r="J110" s="81">
        <f t="shared" si="6"/>
        <v>0</v>
      </c>
      <c r="K110" s="81">
        <f t="shared" si="7"/>
        <v>0</v>
      </c>
      <c r="L110" s="81">
        <f t="shared" si="8"/>
        <v>0</v>
      </c>
    </row>
    <row r="111" spans="1:12">
      <c r="A111" s="421">
        <v>109</v>
      </c>
      <c r="B111" s="421"/>
      <c r="C111" s="421"/>
      <c r="D111" s="419">
        <f>SUMIFS(XLBH!I$2:I$19,XLBH!$B$2:$B$19,'chia CN XLBH'!$C111)</f>
        <v>0</v>
      </c>
      <c r="E111" s="419">
        <f>SUMIFS(XLBH!J$2:J$19,XLBH!$B$2:$B$19,'chia CN XLBH'!$C111)</f>
        <v>0</v>
      </c>
      <c r="F111" s="419">
        <f>SUMIFS(XLBH!K$2:K$19,XLBH!$B$2:$B$19,'chia CN XLBH'!$C111)</f>
        <v>0</v>
      </c>
      <c r="I111" s="80">
        <f>'chia CN SX'!V108</f>
        <v>0</v>
      </c>
      <c r="J111" s="81">
        <f t="shared" si="6"/>
        <v>0</v>
      </c>
      <c r="K111" s="81">
        <f t="shared" si="7"/>
        <v>0</v>
      </c>
      <c r="L111" s="81">
        <f t="shared" si="8"/>
        <v>0</v>
      </c>
    </row>
    <row r="112" spans="1:12">
      <c r="A112" s="421">
        <v>110</v>
      </c>
      <c r="B112" s="421"/>
      <c r="C112" s="421"/>
      <c r="D112" s="419">
        <f>SUMIFS(XLBH!I$2:I$19,XLBH!$B$2:$B$19,'chia CN XLBH'!$C112)</f>
        <v>0</v>
      </c>
      <c r="E112" s="419">
        <f>SUMIFS(XLBH!J$2:J$19,XLBH!$B$2:$B$19,'chia CN XLBH'!$C112)</f>
        <v>0</v>
      </c>
      <c r="F112" s="419">
        <f>SUMIFS(XLBH!K$2:K$19,XLBH!$B$2:$B$19,'chia CN XLBH'!$C112)</f>
        <v>0</v>
      </c>
      <c r="I112" s="80">
        <f>'chia CN SX'!V109</f>
        <v>0</v>
      </c>
      <c r="J112" s="81">
        <f t="shared" si="6"/>
        <v>0</v>
      </c>
      <c r="K112" s="81">
        <f t="shared" si="7"/>
        <v>0</v>
      </c>
      <c r="L112" s="81">
        <f t="shared" si="8"/>
        <v>0</v>
      </c>
    </row>
    <row r="113" spans="1:12">
      <c r="A113" s="421">
        <v>111</v>
      </c>
      <c r="B113" s="421"/>
      <c r="C113" s="421"/>
      <c r="D113" s="419">
        <f>SUMIFS(XLBH!I$2:I$19,XLBH!$B$2:$B$19,'chia CN XLBH'!$C113)</f>
        <v>0</v>
      </c>
      <c r="E113" s="419">
        <f>SUMIFS(XLBH!J$2:J$19,XLBH!$B$2:$B$19,'chia CN XLBH'!$C113)</f>
        <v>0</v>
      </c>
      <c r="F113" s="419">
        <f>SUMIFS(XLBH!K$2:K$19,XLBH!$B$2:$B$19,'chia CN XLBH'!$C113)</f>
        <v>0</v>
      </c>
      <c r="I113" s="80">
        <f>'chia CN SX'!V110</f>
        <v>0</v>
      </c>
      <c r="J113" s="81">
        <f t="shared" si="6"/>
        <v>0</v>
      </c>
      <c r="K113" s="81">
        <f t="shared" si="7"/>
        <v>0</v>
      </c>
      <c r="L113" s="81">
        <f t="shared" si="8"/>
        <v>0</v>
      </c>
    </row>
    <row r="114" spans="1:12">
      <c r="A114" s="421">
        <v>112</v>
      </c>
      <c r="B114" s="421"/>
      <c r="C114" s="421"/>
      <c r="D114" s="419">
        <f>SUMIFS(XLBH!I$2:I$19,XLBH!$B$2:$B$19,'chia CN XLBH'!$C114)</f>
        <v>0</v>
      </c>
      <c r="E114" s="419">
        <f>SUMIFS(XLBH!J$2:J$19,XLBH!$B$2:$B$19,'chia CN XLBH'!$C114)</f>
        <v>0</v>
      </c>
      <c r="F114" s="419">
        <f>SUMIFS(XLBH!K$2:K$19,XLBH!$B$2:$B$19,'chia CN XLBH'!$C114)</f>
        <v>0</v>
      </c>
      <c r="I114" s="80">
        <f>'chia CN SX'!V111</f>
        <v>0</v>
      </c>
      <c r="J114" s="81">
        <f t="shared" si="6"/>
        <v>0</v>
      </c>
      <c r="K114" s="81">
        <f t="shared" si="7"/>
        <v>0</v>
      </c>
      <c r="L114" s="81">
        <f t="shared" si="8"/>
        <v>0</v>
      </c>
    </row>
    <row r="115" spans="1:12">
      <c r="A115" s="421">
        <v>113</v>
      </c>
      <c r="B115" s="421"/>
      <c r="C115" s="421"/>
      <c r="D115" s="419">
        <f>SUMIFS(XLBH!I$2:I$19,XLBH!$B$2:$B$19,'chia CN XLBH'!$C115)</f>
        <v>0</v>
      </c>
      <c r="E115" s="419">
        <f>SUMIFS(XLBH!J$2:J$19,XLBH!$B$2:$B$19,'chia CN XLBH'!$C115)</f>
        <v>0</v>
      </c>
      <c r="F115" s="419">
        <f>SUMIFS(XLBH!K$2:K$19,XLBH!$B$2:$B$19,'chia CN XLBH'!$C115)</f>
        <v>0</v>
      </c>
      <c r="I115" s="80">
        <f>'chia CN SX'!V112</f>
        <v>0</v>
      </c>
      <c r="J115" s="81">
        <f t="shared" si="6"/>
        <v>0</v>
      </c>
      <c r="K115" s="81">
        <f t="shared" si="7"/>
        <v>0</v>
      </c>
      <c r="L115" s="81">
        <f t="shared" si="8"/>
        <v>0</v>
      </c>
    </row>
    <row r="116" spans="1:12">
      <c r="A116" s="421">
        <v>114</v>
      </c>
      <c r="B116" s="421"/>
      <c r="C116" s="421"/>
      <c r="D116" s="419">
        <f>SUMIFS(XLBH!I$2:I$19,XLBH!$B$2:$B$19,'chia CN XLBH'!$C116)</f>
        <v>0</v>
      </c>
      <c r="E116" s="419">
        <f>SUMIFS(XLBH!J$2:J$19,XLBH!$B$2:$B$19,'chia CN XLBH'!$C116)</f>
        <v>0</v>
      </c>
      <c r="F116" s="419">
        <f>SUMIFS(XLBH!K$2:K$19,XLBH!$B$2:$B$19,'chia CN XLBH'!$C116)</f>
        <v>0</v>
      </c>
      <c r="I116" s="80">
        <f>'chia CN SX'!V113</f>
        <v>0</v>
      </c>
      <c r="J116" s="81">
        <f t="shared" si="6"/>
        <v>0</v>
      </c>
      <c r="K116" s="81">
        <f t="shared" si="7"/>
        <v>0</v>
      </c>
      <c r="L116" s="81">
        <f t="shared" si="8"/>
        <v>0</v>
      </c>
    </row>
    <row r="117" spans="1:12">
      <c r="A117" s="421">
        <v>115</v>
      </c>
      <c r="B117" s="421"/>
      <c r="C117" s="421"/>
      <c r="D117" s="419">
        <f>SUMIFS(XLBH!I$2:I$19,XLBH!$B$2:$B$19,'chia CN XLBH'!$C117)</f>
        <v>0</v>
      </c>
      <c r="E117" s="419">
        <f>SUMIFS(XLBH!J$2:J$19,XLBH!$B$2:$B$19,'chia CN XLBH'!$C117)</f>
        <v>0</v>
      </c>
      <c r="F117" s="419">
        <f>SUMIFS(XLBH!K$2:K$19,XLBH!$B$2:$B$19,'chia CN XLBH'!$C117)</f>
        <v>0</v>
      </c>
      <c r="I117" s="80">
        <f>'chia CN SX'!V114</f>
        <v>0</v>
      </c>
      <c r="J117" s="81">
        <f t="shared" si="6"/>
        <v>0</v>
      </c>
      <c r="K117" s="81">
        <f t="shared" si="7"/>
        <v>0</v>
      </c>
      <c r="L117" s="81">
        <f t="shared" si="8"/>
        <v>0</v>
      </c>
    </row>
    <row r="118" spans="1:12">
      <c r="A118" s="421">
        <v>116</v>
      </c>
      <c r="B118" s="421"/>
      <c r="C118" s="421"/>
      <c r="D118" s="419">
        <f>SUMIFS(XLBH!I$2:I$19,XLBH!$B$2:$B$19,'chia CN XLBH'!$C118)</f>
        <v>0</v>
      </c>
      <c r="E118" s="419">
        <f>SUMIFS(XLBH!J$2:J$19,XLBH!$B$2:$B$19,'chia CN XLBH'!$C118)</f>
        <v>0</v>
      </c>
      <c r="F118" s="419">
        <f>SUMIFS(XLBH!K$2:K$19,XLBH!$B$2:$B$19,'chia CN XLBH'!$C118)</f>
        <v>0</v>
      </c>
      <c r="I118" s="80">
        <f>'chia CN SX'!V115</f>
        <v>0</v>
      </c>
      <c r="J118" s="81">
        <f t="shared" si="6"/>
        <v>0</v>
      </c>
      <c r="K118" s="81">
        <f t="shared" si="7"/>
        <v>0</v>
      </c>
      <c r="L118" s="81">
        <f t="shared" si="8"/>
        <v>0</v>
      </c>
    </row>
    <row r="119" spans="1:12">
      <c r="A119" s="421">
        <v>117</v>
      </c>
      <c r="B119" s="421"/>
      <c r="C119" s="421"/>
      <c r="D119" s="419">
        <f>SUMIFS(XLBH!I$2:I$19,XLBH!$B$2:$B$19,'chia CN XLBH'!$C119)</f>
        <v>0</v>
      </c>
      <c r="E119" s="419">
        <f>SUMIFS(XLBH!J$2:J$19,XLBH!$B$2:$B$19,'chia CN XLBH'!$C119)</f>
        <v>0</v>
      </c>
      <c r="F119" s="419">
        <f>SUMIFS(XLBH!K$2:K$19,XLBH!$B$2:$B$19,'chia CN XLBH'!$C119)</f>
        <v>0</v>
      </c>
      <c r="I119" s="80">
        <f>'chia CN SX'!V116</f>
        <v>0</v>
      </c>
      <c r="J119" s="81">
        <f t="shared" si="6"/>
        <v>0</v>
      </c>
      <c r="K119" s="81">
        <f t="shared" si="7"/>
        <v>0</v>
      </c>
      <c r="L119" s="81">
        <f t="shared" si="8"/>
        <v>0</v>
      </c>
    </row>
    <row r="120" spans="1:12">
      <c r="A120" s="421">
        <v>118</v>
      </c>
      <c r="B120" s="421"/>
      <c r="C120" s="421"/>
      <c r="D120" s="419">
        <f>SUMIFS(XLBH!I$2:I$19,XLBH!$B$2:$B$19,'chia CN XLBH'!$C120)</f>
        <v>0</v>
      </c>
      <c r="E120" s="419">
        <f>SUMIFS(XLBH!J$2:J$19,XLBH!$B$2:$B$19,'chia CN XLBH'!$C120)</f>
        <v>0</v>
      </c>
      <c r="F120" s="419">
        <f>SUMIFS(XLBH!K$2:K$19,XLBH!$B$2:$B$19,'chia CN XLBH'!$C120)</f>
        <v>0</v>
      </c>
      <c r="I120" s="80">
        <f>'chia CN SX'!V117</f>
        <v>0</v>
      </c>
      <c r="J120" s="81">
        <f t="shared" si="6"/>
        <v>0</v>
      </c>
      <c r="K120" s="81">
        <f t="shared" si="7"/>
        <v>0</v>
      </c>
      <c r="L120" s="81">
        <f t="shared" si="8"/>
        <v>0</v>
      </c>
    </row>
    <row r="121" spans="1:12">
      <c r="A121" s="421">
        <v>119</v>
      </c>
      <c r="B121" s="421"/>
      <c r="C121" s="421"/>
      <c r="D121" s="419">
        <f>SUMIFS(XLBH!I$2:I$19,XLBH!$B$2:$B$19,'chia CN XLBH'!$C121)</f>
        <v>0</v>
      </c>
      <c r="E121" s="419">
        <f>SUMIFS(XLBH!J$2:J$19,XLBH!$B$2:$B$19,'chia CN XLBH'!$C121)</f>
        <v>0</v>
      </c>
      <c r="F121" s="419">
        <f>SUMIFS(XLBH!K$2:K$19,XLBH!$B$2:$B$19,'chia CN XLBH'!$C121)</f>
        <v>0</v>
      </c>
      <c r="I121" s="80">
        <f>'chia CN SX'!V118</f>
        <v>0</v>
      </c>
      <c r="J121" s="81">
        <f t="shared" si="6"/>
        <v>0</v>
      </c>
      <c r="K121" s="81">
        <f t="shared" si="7"/>
        <v>0</v>
      </c>
      <c r="L121" s="81">
        <f t="shared" si="8"/>
        <v>0</v>
      </c>
    </row>
    <row r="122" spans="1:12">
      <c r="A122" s="421">
        <v>120</v>
      </c>
      <c r="B122" s="421"/>
      <c r="C122" s="421"/>
      <c r="D122" s="419">
        <f>SUMIFS(XLBH!I$2:I$19,XLBH!$B$2:$B$19,'chia CN XLBH'!$C122)</f>
        <v>0</v>
      </c>
      <c r="E122" s="419">
        <f>SUMIFS(XLBH!J$2:J$19,XLBH!$B$2:$B$19,'chia CN XLBH'!$C122)</f>
        <v>0</v>
      </c>
      <c r="F122" s="419">
        <f>SUMIFS(XLBH!K$2:K$19,XLBH!$B$2:$B$19,'chia CN XLBH'!$C122)</f>
        <v>0</v>
      </c>
      <c r="I122" s="80">
        <f>'chia CN SX'!V119</f>
        <v>0</v>
      </c>
      <c r="J122" s="81">
        <f t="shared" si="6"/>
        <v>0</v>
      </c>
      <c r="K122" s="81">
        <f t="shared" si="7"/>
        <v>0</v>
      </c>
      <c r="L122" s="81">
        <f t="shared" si="8"/>
        <v>0</v>
      </c>
    </row>
    <row r="123" spans="1:12">
      <c r="A123" s="421">
        <v>121</v>
      </c>
      <c r="B123" s="421"/>
      <c r="C123" s="421"/>
      <c r="D123" s="419">
        <f>SUMIFS(XLBH!I$2:I$19,XLBH!$B$2:$B$19,'chia CN XLBH'!$C123)</f>
        <v>0</v>
      </c>
      <c r="E123" s="419">
        <f>SUMIFS(XLBH!J$2:J$19,XLBH!$B$2:$B$19,'chia CN XLBH'!$C123)</f>
        <v>0</v>
      </c>
      <c r="F123" s="419">
        <f>SUMIFS(XLBH!K$2:K$19,XLBH!$B$2:$B$19,'chia CN XLBH'!$C123)</f>
        <v>0</v>
      </c>
      <c r="I123" s="80">
        <f>'chia CN SX'!V120</f>
        <v>0</v>
      </c>
      <c r="J123" s="81">
        <f t="shared" si="6"/>
        <v>0</v>
      </c>
      <c r="K123" s="81">
        <f t="shared" si="7"/>
        <v>0</v>
      </c>
      <c r="L123" s="81">
        <f t="shared" si="8"/>
        <v>0</v>
      </c>
    </row>
    <row r="124" spans="1:12">
      <c r="A124" s="421">
        <v>122</v>
      </c>
      <c r="B124" s="421"/>
      <c r="C124" s="421"/>
      <c r="D124" s="419">
        <f>SUMIFS(XLBH!I$2:I$19,XLBH!$B$2:$B$19,'chia CN XLBH'!$C124)</f>
        <v>0</v>
      </c>
      <c r="E124" s="419">
        <f>SUMIFS(XLBH!J$2:J$19,XLBH!$B$2:$B$19,'chia CN XLBH'!$C124)</f>
        <v>0</v>
      </c>
      <c r="F124" s="419">
        <f>SUMIFS(XLBH!K$2:K$19,XLBH!$B$2:$B$19,'chia CN XLBH'!$C124)</f>
        <v>0</v>
      </c>
      <c r="I124" s="80">
        <f>'chia CN SX'!V121</f>
        <v>0</v>
      </c>
      <c r="J124" s="81">
        <f t="shared" si="6"/>
        <v>0</v>
      </c>
      <c r="K124" s="81">
        <f t="shared" si="7"/>
        <v>0</v>
      </c>
      <c r="L124" s="81">
        <f t="shared" si="8"/>
        <v>0</v>
      </c>
    </row>
    <row r="125" spans="1:12">
      <c r="A125" s="421">
        <v>123</v>
      </c>
      <c r="B125" s="421"/>
      <c r="C125" s="421"/>
      <c r="D125" s="419">
        <f>SUMIFS(XLBH!I$2:I$19,XLBH!$B$2:$B$19,'chia CN XLBH'!$C125)</f>
        <v>0</v>
      </c>
      <c r="E125" s="419">
        <f>SUMIFS(XLBH!J$2:J$19,XLBH!$B$2:$B$19,'chia CN XLBH'!$C125)</f>
        <v>0</v>
      </c>
      <c r="F125" s="419">
        <f>SUMIFS(XLBH!K$2:K$19,XLBH!$B$2:$B$19,'chia CN XLBH'!$C125)</f>
        <v>0</v>
      </c>
      <c r="I125" s="80">
        <f>'chia CN SX'!V122</f>
        <v>0</v>
      </c>
      <c r="J125" s="81">
        <f t="shared" si="6"/>
        <v>0</v>
      </c>
      <c r="K125" s="81">
        <f t="shared" si="7"/>
        <v>0</v>
      </c>
      <c r="L125" s="81">
        <f t="shared" si="8"/>
        <v>0</v>
      </c>
    </row>
    <row r="126" spans="1:12">
      <c r="A126" s="421">
        <v>124</v>
      </c>
      <c r="B126" s="421"/>
      <c r="C126" s="421"/>
      <c r="D126" s="419">
        <f>SUMIFS(XLBH!I$2:I$19,XLBH!$B$2:$B$19,'chia CN XLBH'!$C126)</f>
        <v>0</v>
      </c>
      <c r="E126" s="419">
        <f>SUMIFS(XLBH!J$2:J$19,XLBH!$B$2:$B$19,'chia CN XLBH'!$C126)</f>
        <v>0</v>
      </c>
      <c r="F126" s="419">
        <f>SUMIFS(XLBH!K$2:K$19,XLBH!$B$2:$B$19,'chia CN XLBH'!$C126)</f>
        <v>0</v>
      </c>
      <c r="I126" s="80">
        <f>'chia CN SX'!V123</f>
        <v>0</v>
      </c>
      <c r="J126" s="81">
        <f t="shared" si="6"/>
        <v>0</v>
      </c>
      <c r="K126" s="81">
        <f t="shared" si="7"/>
        <v>0</v>
      </c>
      <c r="L126" s="81">
        <f t="shared" si="8"/>
        <v>0</v>
      </c>
    </row>
    <row r="127" spans="1:12">
      <c r="A127" s="421">
        <v>125</v>
      </c>
      <c r="B127" s="421"/>
      <c r="C127" s="421"/>
      <c r="D127" s="419">
        <f>SUMIFS(XLBH!I$2:I$19,XLBH!$B$2:$B$19,'chia CN XLBH'!$C127)</f>
        <v>0</v>
      </c>
      <c r="E127" s="419">
        <f>SUMIFS(XLBH!J$2:J$19,XLBH!$B$2:$B$19,'chia CN XLBH'!$C127)</f>
        <v>0</v>
      </c>
      <c r="F127" s="419">
        <f>SUMIFS(XLBH!K$2:K$19,XLBH!$B$2:$B$19,'chia CN XLBH'!$C127)</f>
        <v>0</v>
      </c>
      <c r="I127" s="80">
        <f>'chia CN SX'!V124</f>
        <v>0</v>
      </c>
      <c r="J127" s="81">
        <f t="shared" si="6"/>
        <v>0</v>
      </c>
      <c r="K127" s="81">
        <f t="shared" si="7"/>
        <v>0</v>
      </c>
      <c r="L127" s="81">
        <f t="shared" si="8"/>
        <v>0</v>
      </c>
    </row>
    <row r="128" spans="1:12">
      <c r="A128" s="421">
        <v>126</v>
      </c>
      <c r="B128" s="421"/>
      <c r="C128" s="421"/>
      <c r="D128" s="419">
        <f>SUMIFS(XLBH!I$2:I$19,XLBH!$B$2:$B$19,'chia CN XLBH'!$C128)</f>
        <v>0</v>
      </c>
      <c r="E128" s="419">
        <f>SUMIFS(XLBH!J$2:J$19,XLBH!$B$2:$B$19,'chia CN XLBH'!$C128)</f>
        <v>0</v>
      </c>
      <c r="F128" s="419">
        <f>SUMIFS(XLBH!K$2:K$19,XLBH!$B$2:$B$19,'chia CN XLBH'!$C128)</f>
        <v>0</v>
      </c>
      <c r="I128" s="80">
        <f>'chia CN SX'!V125</f>
        <v>0</v>
      </c>
      <c r="J128" s="81">
        <f t="shared" si="6"/>
        <v>0</v>
      </c>
      <c r="K128" s="81">
        <f t="shared" si="7"/>
        <v>0</v>
      </c>
      <c r="L128" s="81">
        <f t="shared" si="8"/>
        <v>0</v>
      </c>
    </row>
    <row r="129" spans="1:12">
      <c r="A129" s="421">
        <v>127</v>
      </c>
      <c r="B129" s="421"/>
      <c r="C129" s="421"/>
      <c r="D129" s="419">
        <f>SUMIFS(XLBH!I$2:I$19,XLBH!$B$2:$B$19,'chia CN XLBH'!$C129)</f>
        <v>0</v>
      </c>
      <c r="E129" s="419">
        <f>SUMIFS(XLBH!J$2:J$19,XLBH!$B$2:$B$19,'chia CN XLBH'!$C129)</f>
        <v>0</v>
      </c>
      <c r="F129" s="419">
        <f>SUMIFS(XLBH!K$2:K$19,XLBH!$B$2:$B$19,'chia CN XLBH'!$C129)</f>
        <v>0</v>
      </c>
      <c r="I129" s="80">
        <f>'chia CN SX'!V126</f>
        <v>0</v>
      </c>
      <c r="J129" s="81">
        <f t="shared" si="6"/>
        <v>0</v>
      </c>
      <c r="K129" s="81">
        <f t="shared" si="7"/>
        <v>0</v>
      </c>
      <c r="L129" s="81">
        <f t="shared" si="8"/>
        <v>0</v>
      </c>
    </row>
    <row r="130" spans="1:12">
      <c r="A130" s="421">
        <v>128</v>
      </c>
      <c r="B130" s="421"/>
      <c r="C130" s="421"/>
      <c r="D130" s="419">
        <f>SUMIFS(XLBH!I$2:I$19,XLBH!$B$2:$B$19,'chia CN XLBH'!$C130)</f>
        <v>0</v>
      </c>
      <c r="E130" s="419">
        <f>SUMIFS(XLBH!J$2:J$19,XLBH!$B$2:$B$19,'chia CN XLBH'!$C130)</f>
        <v>0</v>
      </c>
      <c r="F130" s="419">
        <f>SUMIFS(XLBH!K$2:K$19,XLBH!$B$2:$B$19,'chia CN XLBH'!$C130)</f>
        <v>0</v>
      </c>
      <c r="I130" s="80">
        <f>'chia CN SX'!V127</f>
        <v>0</v>
      </c>
      <c r="J130" s="81">
        <f t="shared" si="6"/>
        <v>0</v>
      </c>
      <c r="K130" s="81">
        <f t="shared" si="7"/>
        <v>0</v>
      </c>
      <c r="L130" s="81">
        <f t="shared" si="8"/>
        <v>0</v>
      </c>
    </row>
    <row r="131" spans="1:12">
      <c r="A131" s="421">
        <v>129</v>
      </c>
      <c r="B131" s="421"/>
      <c r="C131" s="421"/>
      <c r="D131" s="419">
        <f>SUMIFS(XLBH!I$2:I$19,XLBH!$B$2:$B$19,'chia CN XLBH'!$C131)</f>
        <v>0</v>
      </c>
      <c r="E131" s="419">
        <f>SUMIFS(XLBH!J$2:J$19,XLBH!$B$2:$B$19,'chia CN XLBH'!$C131)</f>
        <v>0</v>
      </c>
      <c r="F131" s="419">
        <f>SUMIFS(XLBH!K$2:K$19,XLBH!$B$2:$B$19,'chia CN XLBH'!$C131)</f>
        <v>0</v>
      </c>
      <c r="I131" s="80">
        <f>'chia CN SX'!V128</f>
        <v>0</v>
      </c>
      <c r="J131" s="81">
        <f t="shared" si="6"/>
        <v>0</v>
      </c>
      <c r="K131" s="81">
        <f t="shared" si="7"/>
        <v>0</v>
      </c>
      <c r="L131" s="81">
        <f t="shared" si="8"/>
        <v>0</v>
      </c>
    </row>
    <row r="132" spans="1:12">
      <c r="A132" s="421">
        <v>130</v>
      </c>
      <c r="B132" s="421"/>
      <c r="C132" s="421"/>
      <c r="D132" s="419">
        <f>SUMIFS(XLBH!I$2:I$19,XLBH!$B$2:$B$19,'chia CN XLBH'!$C132)</f>
        <v>0</v>
      </c>
      <c r="E132" s="419">
        <f>SUMIFS(XLBH!J$2:J$19,XLBH!$B$2:$B$19,'chia CN XLBH'!$C132)</f>
        <v>0</v>
      </c>
      <c r="F132" s="419">
        <f>SUMIFS(XLBH!K$2:K$19,XLBH!$B$2:$B$19,'chia CN XLBH'!$C132)</f>
        <v>0</v>
      </c>
      <c r="I132" s="80">
        <f>'chia CN SX'!V129</f>
        <v>0</v>
      </c>
      <c r="J132" s="81">
        <f t="shared" si="6"/>
        <v>0</v>
      </c>
      <c r="K132" s="81">
        <f t="shared" si="7"/>
        <v>0</v>
      </c>
      <c r="L132" s="81">
        <f t="shared" si="8"/>
        <v>0</v>
      </c>
    </row>
    <row r="133" spans="1:12">
      <c r="A133" s="421">
        <v>131</v>
      </c>
      <c r="B133" s="421"/>
      <c r="C133" s="421"/>
      <c r="D133" s="419">
        <f>SUMIFS(XLBH!I$2:I$19,XLBH!$B$2:$B$19,'chia CN XLBH'!$C133)</f>
        <v>0</v>
      </c>
      <c r="E133" s="419">
        <f>SUMIFS(XLBH!J$2:J$19,XLBH!$B$2:$B$19,'chia CN XLBH'!$C133)</f>
        <v>0</v>
      </c>
      <c r="F133" s="419">
        <f>SUMIFS(XLBH!K$2:K$19,XLBH!$B$2:$B$19,'chia CN XLBH'!$C133)</f>
        <v>0</v>
      </c>
      <c r="I133" s="80">
        <f>'chia CN SX'!V130</f>
        <v>0</v>
      </c>
      <c r="J133" s="81">
        <f t="shared" si="6"/>
        <v>0</v>
      </c>
      <c r="K133" s="81">
        <f t="shared" si="7"/>
        <v>0</v>
      </c>
      <c r="L133" s="81">
        <f t="shared" si="8"/>
        <v>0</v>
      </c>
    </row>
    <row r="134" spans="1:12">
      <c r="A134" s="421">
        <v>132</v>
      </c>
      <c r="B134" s="421"/>
      <c r="C134" s="421"/>
      <c r="D134" s="419">
        <f>SUMIFS(XLBH!I$2:I$19,XLBH!$B$2:$B$19,'chia CN XLBH'!$C134)</f>
        <v>0</v>
      </c>
      <c r="E134" s="419">
        <f>SUMIFS(XLBH!J$2:J$19,XLBH!$B$2:$B$19,'chia CN XLBH'!$C134)</f>
        <v>0</v>
      </c>
      <c r="F134" s="419">
        <f>SUMIFS(XLBH!K$2:K$19,XLBH!$B$2:$B$19,'chia CN XLBH'!$C134)</f>
        <v>0</v>
      </c>
      <c r="I134" s="80">
        <f>'chia CN SX'!V131</f>
        <v>0</v>
      </c>
      <c r="J134" s="81">
        <f t="shared" si="6"/>
        <v>0</v>
      </c>
      <c r="K134" s="81">
        <f t="shared" si="7"/>
        <v>0</v>
      </c>
      <c r="L134" s="81">
        <f t="shared" si="8"/>
        <v>0</v>
      </c>
    </row>
    <row r="135" spans="1:12">
      <c r="A135" s="421">
        <v>133</v>
      </c>
      <c r="B135" s="421"/>
      <c r="C135" s="421"/>
      <c r="D135" s="419">
        <f>SUMIFS(XLBH!I$2:I$19,XLBH!$B$2:$B$19,'chia CN XLBH'!$C135)</f>
        <v>0</v>
      </c>
      <c r="E135" s="419">
        <f>SUMIFS(XLBH!J$2:J$19,XLBH!$B$2:$B$19,'chia CN XLBH'!$C135)</f>
        <v>0</v>
      </c>
      <c r="F135" s="419">
        <f>SUMIFS(XLBH!K$2:K$19,XLBH!$B$2:$B$19,'chia CN XLBH'!$C135)</f>
        <v>0</v>
      </c>
      <c r="I135" s="80">
        <f>'chia CN SX'!V132</f>
        <v>0</v>
      </c>
      <c r="J135" s="81">
        <f t="shared" si="6"/>
        <v>0</v>
      </c>
      <c r="K135" s="81">
        <f t="shared" si="7"/>
        <v>0</v>
      </c>
      <c r="L135" s="81">
        <f t="shared" si="8"/>
        <v>0</v>
      </c>
    </row>
    <row r="136" spans="1:12">
      <c r="A136" s="421">
        <v>134</v>
      </c>
      <c r="B136" s="421"/>
      <c r="C136" s="421"/>
      <c r="D136" s="419">
        <f>SUMIFS(XLBH!I$2:I$19,XLBH!$B$2:$B$19,'chia CN XLBH'!$C136)</f>
        <v>0</v>
      </c>
      <c r="E136" s="419">
        <f>SUMIFS(XLBH!J$2:J$19,XLBH!$B$2:$B$19,'chia CN XLBH'!$C136)</f>
        <v>0</v>
      </c>
      <c r="F136" s="419">
        <f>SUMIFS(XLBH!K$2:K$19,XLBH!$B$2:$B$19,'chia CN XLBH'!$C136)</f>
        <v>0</v>
      </c>
      <c r="I136" s="80">
        <f>'chia CN SX'!V133</f>
        <v>0</v>
      </c>
      <c r="J136" s="81">
        <f t="shared" si="6"/>
        <v>0</v>
      </c>
      <c r="K136" s="81">
        <f t="shared" si="7"/>
        <v>0</v>
      </c>
      <c r="L136" s="81">
        <f t="shared" si="8"/>
        <v>0</v>
      </c>
    </row>
    <row r="137" spans="1:12">
      <c r="A137" s="421">
        <v>135</v>
      </c>
      <c r="B137" s="421"/>
      <c r="C137" s="421"/>
      <c r="D137" s="419">
        <f>SUMIFS(XLBH!I$2:I$19,XLBH!$B$2:$B$19,'chia CN XLBH'!$C137)</f>
        <v>0</v>
      </c>
      <c r="E137" s="419">
        <f>SUMIFS(XLBH!J$2:J$19,XLBH!$B$2:$B$19,'chia CN XLBH'!$C137)</f>
        <v>0</v>
      </c>
      <c r="F137" s="419">
        <f>SUMIFS(XLBH!K$2:K$19,XLBH!$B$2:$B$19,'chia CN XLBH'!$C137)</f>
        <v>0</v>
      </c>
      <c r="I137" s="80">
        <f>'chia CN SX'!V134</f>
        <v>0</v>
      </c>
      <c r="J137" s="81">
        <f t="shared" si="6"/>
        <v>0</v>
      </c>
      <c r="K137" s="81">
        <f t="shared" si="7"/>
        <v>0</v>
      </c>
      <c r="L137" s="81">
        <f t="shared" si="8"/>
        <v>0</v>
      </c>
    </row>
    <row r="138" spans="1:12">
      <c r="A138" s="421">
        <v>136</v>
      </c>
      <c r="B138" s="421"/>
      <c r="C138" s="421"/>
      <c r="D138" s="419">
        <f>SUMIFS(XLBH!I$2:I$19,XLBH!$B$2:$B$19,'chia CN XLBH'!$C138)</f>
        <v>0</v>
      </c>
      <c r="E138" s="419">
        <f>SUMIFS(XLBH!J$2:J$19,XLBH!$B$2:$B$19,'chia CN XLBH'!$C138)</f>
        <v>0</v>
      </c>
      <c r="F138" s="419">
        <f>SUMIFS(XLBH!K$2:K$19,XLBH!$B$2:$B$19,'chia CN XLBH'!$C138)</f>
        <v>0</v>
      </c>
      <c r="I138" s="80">
        <f>'chia CN SX'!V135</f>
        <v>0</v>
      </c>
      <c r="J138" s="81">
        <f t="shared" si="6"/>
        <v>0</v>
      </c>
      <c r="K138" s="81">
        <f t="shared" si="7"/>
        <v>0</v>
      </c>
      <c r="L138" s="81">
        <f t="shared" si="8"/>
        <v>0</v>
      </c>
    </row>
    <row r="139" spans="1:12">
      <c r="A139" s="421">
        <v>137</v>
      </c>
      <c r="B139" s="421"/>
      <c r="C139" s="421"/>
      <c r="D139" s="419">
        <f>SUMIFS(XLBH!I$2:I$19,XLBH!$B$2:$B$19,'chia CN XLBH'!$C139)</f>
        <v>0</v>
      </c>
      <c r="E139" s="419">
        <f>SUMIFS(XLBH!J$2:J$19,XLBH!$B$2:$B$19,'chia CN XLBH'!$C139)</f>
        <v>0</v>
      </c>
      <c r="F139" s="419">
        <f>SUMIFS(XLBH!K$2:K$19,XLBH!$B$2:$B$19,'chia CN XLBH'!$C139)</f>
        <v>0</v>
      </c>
      <c r="I139" s="80">
        <f>'chia CN SX'!V136</f>
        <v>0</v>
      </c>
      <c r="J139" s="81">
        <f t="shared" si="6"/>
        <v>0</v>
      </c>
      <c r="K139" s="81">
        <f t="shared" si="7"/>
        <v>0</v>
      </c>
      <c r="L139" s="81">
        <f t="shared" si="8"/>
        <v>0</v>
      </c>
    </row>
    <row r="140" spans="1:12">
      <c r="A140" s="421">
        <v>138</v>
      </c>
      <c r="B140" s="421"/>
      <c r="C140" s="421"/>
      <c r="D140" s="419">
        <f>SUMIFS(XLBH!I$2:I$19,XLBH!$B$2:$B$19,'chia CN XLBH'!$C140)</f>
        <v>0</v>
      </c>
      <c r="E140" s="419">
        <f>SUMIFS(XLBH!J$2:J$19,XLBH!$B$2:$B$19,'chia CN XLBH'!$C140)</f>
        <v>0</v>
      </c>
      <c r="F140" s="419">
        <f>SUMIFS(XLBH!K$2:K$19,XLBH!$B$2:$B$19,'chia CN XLBH'!$C140)</f>
        <v>0</v>
      </c>
      <c r="I140" s="80">
        <f>'chia CN SX'!V137</f>
        <v>0</v>
      </c>
      <c r="J140" s="81">
        <f t="shared" si="6"/>
        <v>0</v>
      </c>
      <c r="K140" s="81">
        <f t="shared" si="7"/>
        <v>0</v>
      </c>
      <c r="L140" s="81">
        <f t="shared" si="8"/>
        <v>0</v>
      </c>
    </row>
    <row r="141" spans="1:12">
      <c r="A141" s="421">
        <v>139</v>
      </c>
      <c r="B141" s="421"/>
      <c r="C141" s="421"/>
      <c r="D141" s="419">
        <f>SUMIFS(XLBH!I$2:I$19,XLBH!$B$2:$B$19,'chia CN XLBH'!$C141)</f>
        <v>0</v>
      </c>
      <c r="E141" s="419">
        <f>SUMIFS(XLBH!J$2:J$19,XLBH!$B$2:$B$19,'chia CN XLBH'!$C141)</f>
        <v>0</v>
      </c>
      <c r="F141" s="419">
        <f>SUMIFS(XLBH!K$2:K$19,XLBH!$B$2:$B$19,'chia CN XLBH'!$C141)</f>
        <v>0</v>
      </c>
      <c r="I141" s="80">
        <f>'chia CN SX'!V138</f>
        <v>0</v>
      </c>
      <c r="J141" s="81">
        <f t="shared" si="6"/>
        <v>0</v>
      </c>
      <c r="K141" s="81">
        <f t="shared" si="7"/>
        <v>0</v>
      </c>
      <c r="L141" s="81">
        <f t="shared" si="8"/>
        <v>0</v>
      </c>
    </row>
    <row r="142" spans="1:12">
      <c r="A142" s="421">
        <v>140</v>
      </c>
      <c r="B142" s="421"/>
      <c r="C142" s="421"/>
      <c r="D142" s="419">
        <f>SUMIFS(XLBH!I$2:I$19,XLBH!$B$2:$B$19,'chia CN XLBH'!$C142)</f>
        <v>0</v>
      </c>
      <c r="E142" s="419">
        <f>SUMIFS(XLBH!J$2:J$19,XLBH!$B$2:$B$19,'chia CN XLBH'!$C142)</f>
        <v>0</v>
      </c>
      <c r="F142" s="419">
        <f>SUMIFS(XLBH!K$2:K$19,XLBH!$B$2:$B$19,'chia CN XLBH'!$C142)</f>
        <v>0</v>
      </c>
      <c r="I142" s="80">
        <f>'chia CN SX'!V139</f>
        <v>0</v>
      </c>
      <c r="J142" s="81">
        <f t="shared" si="6"/>
        <v>0</v>
      </c>
      <c r="K142" s="81">
        <f t="shared" si="7"/>
        <v>0</v>
      </c>
      <c r="L142" s="81">
        <f t="shared" si="8"/>
        <v>0</v>
      </c>
    </row>
    <row r="143" spans="1:12">
      <c r="A143" s="421">
        <v>141</v>
      </c>
      <c r="B143" s="421"/>
      <c r="C143" s="421"/>
      <c r="D143" s="419">
        <f>SUMIFS(XLBH!I$2:I$19,XLBH!$B$2:$B$19,'chia CN XLBH'!$C143)</f>
        <v>0</v>
      </c>
      <c r="E143" s="419">
        <f>SUMIFS(XLBH!J$2:J$19,XLBH!$B$2:$B$19,'chia CN XLBH'!$C143)</f>
        <v>0</v>
      </c>
      <c r="F143" s="419">
        <f>SUMIFS(XLBH!K$2:K$19,XLBH!$B$2:$B$19,'chia CN XLBH'!$C143)</f>
        <v>0</v>
      </c>
      <c r="I143" s="80">
        <f>'chia CN SX'!V140</f>
        <v>0</v>
      </c>
      <c r="J143" s="81">
        <f t="shared" si="6"/>
        <v>0</v>
      </c>
      <c r="K143" s="81">
        <f t="shared" si="7"/>
        <v>0</v>
      </c>
      <c r="L143" s="81">
        <f t="shared" si="8"/>
        <v>0</v>
      </c>
    </row>
    <row r="144" spans="1:12">
      <c r="A144" s="421">
        <v>142</v>
      </c>
      <c r="B144" s="421"/>
      <c r="C144" s="421"/>
      <c r="D144" s="419">
        <f>SUMIFS(XLBH!I$2:I$19,XLBH!$B$2:$B$19,'chia CN XLBH'!$C144)</f>
        <v>0</v>
      </c>
      <c r="E144" s="419">
        <f>SUMIFS(XLBH!J$2:J$19,XLBH!$B$2:$B$19,'chia CN XLBH'!$C144)</f>
        <v>0</v>
      </c>
      <c r="F144" s="419">
        <f>SUMIFS(XLBH!K$2:K$19,XLBH!$B$2:$B$19,'chia CN XLBH'!$C144)</f>
        <v>0</v>
      </c>
      <c r="I144" s="80">
        <f>'chia CN SX'!V141</f>
        <v>0</v>
      </c>
      <c r="J144" s="81">
        <f t="shared" si="6"/>
        <v>0</v>
      </c>
      <c r="K144" s="81">
        <f t="shared" si="7"/>
        <v>0</v>
      </c>
      <c r="L144" s="81">
        <f t="shared" si="8"/>
        <v>0</v>
      </c>
    </row>
    <row r="145" spans="1:12">
      <c r="A145" s="421">
        <v>143</v>
      </c>
      <c r="B145" s="421"/>
      <c r="C145" s="421"/>
      <c r="D145" s="419">
        <f>SUMIFS(XLBH!I$2:I$19,XLBH!$B$2:$B$19,'chia CN XLBH'!$C145)</f>
        <v>0</v>
      </c>
      <c r="E145" s="419">
        <f>SUMIFS(XLBH!J$2:J$19,XLBH!$B$2:$B$19,'chia CN XLBH'!$C145)</f>
        <v>0</v>
      </c>
      <c r="F145" s="419">
        <f>SUMIFS(XLBH!K$2:K$19,XLBH!$B$2:$B$19,'chia CN XLBH'!$C145)</f>
        <v>0</v>
      </c>
      <c r="I145" s="80">
        <f>'chia CN SX'!V142</f>
        <v>0</v>
      </c>
      <c r="J145" s="81">
        <f t="shared" si="6"/>
        <v>0</v>
      </c>
      <c r="K145" s="81">
        <f t="shared" si="7"/>
        <v>0</v>
      </c>
      <c r="L145" s="81">
        <f t="shared" si="8"/>
        <v>0</v>
      </c>
    </row>
    <row r="146" spans="1:12">
      <c r="A146" s="421">
        <v>144</v>
      </c>
      <c r="B146" s="421"/>
      <c r="C146" s="421"/>
      <c r="D146" s="419">
        <f>SUMIFS(XLBH!I$2:I$19,XLBH!$B$2:$B$19,'chia CN XLBH'!$C146)</f>
        <v>0</v>
      </c>
      <c r="E146" s="419">
        <f>SUMIFS(XLBH!J$2:J$19,XLBH!$B$2:$B$19,'chia CN XLBH'!$C146)</f>
        <v>0</v>
      </c>
      <c r="F146" s="419">
        <f>SUMIFS(XLBH!K$2:K$19,XLBH!$B$2:$B$19,'chia CN XLBH'!$C146)</f>
        <v>0</v>
      </c>
      <c r="I146" s="80">
        <f>'chia CN SX'!V143</f>
        <v>0</v>
      </c>
      <c r="J146" s="81">
        <f t="shared" si="6"/>
        <v>0</v>
      </c>
      <c r="K146" s="81">
        <f t="shared" si="7"/>
        <v>0</v>
      </c>
      <c r="L146" s="81">
        <f t="shared" si="8"/>
        <v>0</v>
      </c>
    </row>
    <row r="147" spans="1:12">
      <c r="A147" s="421">
        <v>145</v>
      </c>
      <c r="B147" s="421"/>
      <c r="C147" s="421"/>
      <c r="D147" s="419">
        <f>SUMIFS(XLBH!I$2:I$19,XLBH!$B$2:$B$19,'chia CN XLBH'!$C147)</f>
        <v>0</v>
      </c>
      <c r="E147" s="419">
        <f>SUMIFS(XLBH!J$2:J$19,XLBH!$B$2:$B$19,'chia CN XLBH'!$C147)</f>
        <v>0</v>
      </c>
      <c r="F147" s="419">
        <f>SUMIFS(XLBH!K$2:K$19,XLBH!$B$2:$B$19,'chia CN XLBH'!$C147)</f>
        <v>0</v>
      </c>
      <c r="I147" s="80">
        <f>'chia CN SX'!V144</f>
        <v>0</v>
      </c>
      <c r="J147" s="81">
        <f t="shared" ref="J147:J156" si="9">SUMIF($B$3:$B$169,$I147,D$3:D$169)</f>
        <v>0</v>
      </c>
      <c r="K147" s="81">
        <f t="shared" ref="K147:K156" si="10">SUMIF($B$3:$B$169,$I147,E$3:E$169)</f>
        <v>0</v>
      </c>
      <c r="L147" s="81">
        <f t="shared" ref="L147:L156" si="11">SUMIF($B$3:$B$169,$I147,F$3:F$169)</f>
        <v>0</v>
      </c>
    </row>
    <row r="148" spans="1:12">
      <c r="A148" s="421">
        <v>146</v>
      </c>
      <c r="B148" s="421"/>
      <c r="C148" s="421"/>
      <c r="D148" s="419">
        <f>SUMIFS(XLBH!I$2:I$19,XLBH!$B$2:$B$19,'chia CN XLBH'!$C148)</f>
        <v>0</v>
      </c>
      <c r="E148" s="419">
        <f>SUMIFS(XLBH!J$2:J$19,XLBH!$B$2:$B$19,'chia CN XLBH'!$C148)</f>
        <v>0</v>
      </c>
      <c r="F148" s="419">
        <f>SUMIFS(XLBH!K$2:K$19,XLBH!$B$2:$B$19,'chia CN XLBH'!$C148)</f>
        <v>0</v>
      </c>
      <c r="I148" s="80">
        <f>'chia CN SX'!V145</f>
        <v>0</v>
      </c>
      <c r="J148" s="81">
        <f t="shared" si="9"/>
        <v>0</v>
      </c>
      <c r="K148" s="81">
        <f t="shared" si="10"/>
        <v>0</v>
      </c>
      <c r="L148" s="81">
        <f t="shared" si="11"/>
        <v>0</v>
      </c>
    </row>
    <row r="149" spans="1:12">
      <c r="A149" s="421">
        <v>147</v>
      </c>
      <c r="B149" s="421"/>
      <c r="C149" s="421"/>
      <c r="D149" s="419">
        <f>SUMIFS(XLBH!I$2:I$19,XLBH!$B$2:$B$19,'chia CN XLBH'!$C149)</f>
        <v>0</v>
      </c>
      <c r="E149" s="419">
        <f>SUMIFS(XLBH!J$2:J$19,XLBH!$B$2:$B$19,'chia CN XLBH'!$C149)</f>
        <v>0</v>
      </c>
      <c r="F149" s="419">
        <f>SUMIFS(XLBH!K$2:K$19,XLBH!$B$2:$B$19,'chia CN XLBH'!$C149)</f>
        <v>0</v>
      </c>
      <c r="I149" s="80">
        <f>'chia CN SX'!V146</f>
        <v>0</v>
      </c>
      <c r="J149" s="81">
        <f t="shared" si="9"/>
        <v>0</v>
      </c>
      <c r="K149" s="81">
        <f t="shared" si="10"/>
        <v>0</v>
      </c>
      <c r="L149" s="81">
        <f t="shared" si="11"/>
        <v>0</v>
      </c>
    </row>
    <row r="150" spans="1:12">
      <c r="A150" s="421">
        <v>148</v>
      </c>
      <c r="B150" s="421"/>
      <c r="C150" s="421"/>
      <c r="D150" s="419">
        <f>SUMIFS(XLBH!I$2:I$19,XLBH!$B$2:$B$19,'chia CN XLBH'!$C150)</f>
        <v>0</v>
      </c>
      <c r="E150" s="419">
        <f>SUMIFS(XLBH!J$2:J$19,XLBH!$B$2:$B$19,'chia CN XLBH'!$C150)</f>
        <v>0</v>
      </c>
      <c r="F150" s="419">
        <f>SUMIFS(XLBH!K$2:K$19,XLBH!$B$2:$B$19,'chia CN XLBH'!$C150)</f>
        <v>0</v>
      </c>
      <c r="I150" s="80">
        <f>'chia CN SX'!V147</f>
        <v>0</v>
      </c>
      <c r="J150" s="81">
        <f t="shared" si="9"/>
        <v>0</v>
      </c>
      <c r="K150" s="81">
        <f t="shared" si="10"/>
        <v>0</v>
      </c>
      <c r="L150" s="81">
        <f t="shared" si="11"/>
        <v>0</v>
      </c>
    </row>
    <row r="151" spans="1:12">
      <c r="A151" s="421">
        <v>149</v>
      </c>
      <c r="B151" s="421"/>
      <c r="C151" s="421"/>
      <c r="D151" s="419">
        <f>SUMIFS(XLBH!I$2:I$19,XLBH!$B$2:$B$19,'chia CN XLBH'!$C151)</f>
        <v>0</v>
      </c>
      <c r="E151" s="419">
        <f>SUMIFS(XLBH!J$2:J$19,XLBH!$B$2:$B$19,'chia CN XLBH'!$C151)</f>
        <v>0</v>
      </c>
      <c r="F151" s="419">
        <f>SUMIFS(XLBH!K$2:K$19,XLBH!$B$2:$B$19,'chia CN XLBH'!$C151)</f>
        <v>0</v>
      </c>
      <c r="I151" s="80">
        <f>'chia CN SX'!V148</f>
        <v>0</v>
      </c>
      <c r="J151" s="81">
        <f t="shared" si="9"/>
        <v>0</v>
      </c>
      <c r="K151" s="81">
        <f t="shared" si="10"/>
        <v>0</v>
      </c>
      <c r="L151" s="81">
        <f t="shared" si="11"/>
        <v>0</v>
      </c>
    </row>
    <row r="152" spans="1:12">
      <c r="A152" s="421">
        <v>150</v>
      </c>
      <c r="B152" s="421"/>
      <c r="C152" s="421"/>
      <c r="D152" s="419">
        <f>SUMIFS(XLBH!I$2:I$19,XLBH!$B$2:$B$19,'chia CN XLBH'!$C152)</f>
        <v>0</v>
      </c>
      <c r="E152" s="419">
        <f>SUMIFS(XLBH!J$2:J$19,XLBH!$B$2:$B$19,'chia CN XLBH'!$C152)</f>
        <v>0</v>
      </c>
      <c r="F152" s="419">
        <f>SUMIFS(XLBH!K$2:K$19,XLBH!$B$2:$B$19,'chia CN XLBH'!$C152)</f>
        <v>0</v>
      </c>
      <c r="I152" s="80">
        <f>'chia CN SX'!V149</f>
        <v>0</v>
      </c>
      <c r="J152" s="81">
        <f t="shared" si="9"/>
        <v>0</v>
      </c>
      <c r="K152" s="81">
        <f t="shared" si="10"/>
        <v>0</v>
      </c>
      <c r="L152" s="81">
        <f t="shared" si="11"/>
        <v>0</v>
      </c>
    </row>
    <row r="153" spans="1:12">
      <c r="A153" s="421">
        <v>151</v>
      </c>
      <c r="B153" s="421"/>
      <c r="C153" s="421"/>
      <c r="D153" s="419">
        <f>SUMIFS(XLBH!I$2:I$19,XLBH!$B$2:$B$19,'chia CN XLBH'!$C153)</f>
        <v>0</v>
      </c>
      <c r="E153" s="419">
        <f>SUMIFS(XLBH!J$2:J$19,XLBH!$B$2:$B$19,'chia CN XLBH'!$C153)</f>
        <v>0</v>
      </c>
      <c r="F153" s="419">
        <f>SUMIFS(XLBH!K$2:K$19,XLBH!$B$2:$B$19,'chia CN XLBH'!$C153)</f>
        <v>0</v>
      </c>
      <c r="I153" s="80">
        <f>'chia CN SX'!V150</f>
        <v>0</v>
      </c>
      <c r="J153" s="81">
        <f t="shared" si="9"/>
        <v>0</v>
      </c>
      <c r="K153" s="81">
        <f t="shared" si="10"/>
        <v>0</v>
      </c>
      <c r="L153" s="81">
        <f t="shared" si="11"/>
        <v>0</v>
      </c>
    </row>
    <row r="154" spans="1:12">
      <c r="A154" s="421">
        <v>152</v>
      </c>
      <c r="B154" s="421"/>
      <c r="C154" s="421"/>
      <c r="D154" s="419">
        <f>SUMIFS(XLBH!I$2:I$19,XLBH!$B$2:$B$19,'chia CN XLBH'!$C154)</f>
        <v>0</v>
      </c>
      <c r="E154" s="419">
        <f>SUMIFS(XLBH!J$2:J$19,XLBH!$B$2:$B$19,'chia CN XLBH'!$C154)</f>
        <v>0</v>
      </c>
      <c r="F154" s="419">
        <f>SUMIFS(XLBH!K$2:K$19,XLBH!$B$2:$B$19,'chia CN XLBH'!$C154)</f>
        <v>0</v>
      </c>
      <c r="I154" s="80">
        <f>'chia CN SX'!V151</f>
        <v>0</v>
      </c>
      <c r="J154" s="81">
        <f t="shared" si="9"/>
        <v>0</v>
      </c>
      <c r="K154" s="81">
        <f t="shared" si="10"/>
        <v>0</v>
      </c>
      <c r="L154" s="81">
        <f t="shared" si="11"/>
        <v>0</v>
      </c>
    </row>
    <row r="155" spans="1:12">
      <c r="A155" s="421">
        <v>153</v>
      </c>
      <c r="B155" s="421"/>
      <c r="C155" s="421"/>
      <c r="D155" s="419">
        <f>SUMIFS(XLBH!I$2:I$19,XLBH!$B$2:$B$19,'chia CN XLBH'!$C155)</f>
        <v>0</v>
      </c>
      <c r="E155" s="419">
        <f>SUMIFS(XLBH!J$2:J$19,XLBH!$B$2:$B$19,'chia CN XLBH'!$C155)</f>
        <v>0</v>
      </c>
      <c r="F155" s="419">
        <f>SUMIFS(XLBH!K$2:K$19,XLBH!$B$2:$B$19,'chia CN XLBH'!$C155)</f>
        <v>0</v>
      </c>
      <c r="I155" s="80">
        <f>'chia CN SX'!V152</f>
        <v>0</v>
      </c>
      <c r="J155" s="81">
        <f t="shared" si="9"/>
        <v>0</v>
      </c>
      <c r="K155" s="81">
        <f t="shared" si="10"/>
        <v>0</v>
      </c>
      <c r="L155" s="81">
        <f t="shared" si="11"/>
        <v>0</v>
      </c>
    </row>
    <row r="156" spans="1:12">
      <c r="A156" s="421">
        <v>154</v>
      </c>
      <c r="B156" s="421"/>
      <c r="C156" s="421"/>
      <c r="D156" s="419">
        <f>SUMIFS(XLBH!I$2:I$19,XLBH!$B$2:$B$19,'chia CN XLBH'!$C156)</f>
        <v>0</v>
      </c>
      <c r="E156" s="419">
        <f>SUMIFS(XLBH!J$2:J$19,XLBH!$B$2:$B$19,'chia CN XLBH'!$C156)</f>
        <v>0</v>
      </c>
      <c r="F156" s="419">
        <f>SUMIFS(XLBH!K$2:K$19,XLBH!$B$2:$B$19,'chia CN XLBH'!$C156)</f>
        <v>0</v>
      </c>
      <c r="I156" s="80">
        <f>'chia CN SX'!V153</f>
        <v>0</v>
      </c>
      <c r="J156" s="81">
        <f t="shared" si="9"/>
        <v>0</v>
      </c>
      <c r="K156" s="81">
        <f t="shared" si="10"/>
        <v>0</v>
      </c>
      <c r="L156" s="81">
        <f t="shared" si="11"/>
        <v>0</v>
      </c>
    </row>
    <row r="157" spans="1:12">
      <c r="A157" s="421">
        <v>127</v>
      </c>
      <c r="B157" s="421"/>
      <c r="C157" s="421"/>
      <c r="D157" s="419">
        <f>SUMIFS(XLBH!I$2:I$19,XLBH!$B$2:$B$19,'chia CN XLBH'!$C157)</f>
        <v>0</v>
      </c>
      <c r="E157" s="419">
        <f>SUMIFS(XLBH!J$2:J$19,XLBH!$B$2:$B$19,'chia CN XLBH'!$C157)</f>
        <v>0</v>
      </c>
      <c r="F157" s="419">
        <f>SUMIFS(XLBH!K$2:K$19,XLBH!$B$2:$B$19,'chia CN XLBH'!$C157)</f>
        <v>0</v>
      </c>
      <c r="I157" s="80">
        <f>'chia CN SX'!V126</f>
        <v>0</v>
      </c>
      <c r="J157" s="81">
        <f t="shared" ref="J157:J169" si="12">SUMIF($B$3:$B$169,$I157,D$3:D$169)</f>
        <v>0</v>
      </c>
      <c r="K157" s="81">
        <f t="shared" ref="K157:K169" si="13">SUMIF($B$3:$B$169,$I157,E$3:E$169)</f>
        <v>0</v>
      </c>
      <c r="L157" s="81">
        <f t="shared" ref="L157:L169" si="14">SUMIF($B$3:$B$169,$I157,F$3:F$169)</f>
        <v>0</v>
      </c>
    </row>
    <row r="158" spans="1:12">
      <c r="A158" s="421">
        <v>128</v>
      </c>
      <c r="B158" s="421"/>
      <c r="C158" s="421"/>
      <c r="D158" s="419">
        <f>SUMIFS(XLBH!I$2:I$19,XLBH!$B$2:$B$19,'chia CN XLBH'!$C158)</f>
        <v>0</v>
      </c>
      <c r="E158" s="419">
        <f>SUMIFS(XLBH!J$2:J$19,XLBH!$B$2:$B$19,'chia CN XLBH'!$C158)</f>
        <v>0</v>
      </c>
      <c r="F158" s="419">
        <f>SUMIFS(XLBH!K$2:K$19,XLBH!$B$2:$B$19,'chia CN XLBH'!$C158)</f>
        <v>0</v>
      </c>
      <c r="I158" s="80">
        <f>'chia CN SX'!V127</f>
        <v>0</v>
      </c>
      <c r="J158" s="81">
        <f t="shared" si="12"/>
        <v>0</v>
      </c>
      <c r="K158" s="81">
        <f t="shared" si="13"/>
        <v>0</v>
      </c>
      <c r="L158" s="81">
        <f t="shared" si="14"/>
        <v>0</v>
      </c>
    </row>
    <row r="159" spans="1:12">
      <c r="A159" s="421">
        <v>129</v>
      </c>
      <c r="B159" s="421"/>
      <c r="C159" s="421"/>
      <c r="D159" s="419">
        <f>SUMIFS(XLBH!I$2:I$19,XLBH!$B$2:$B$19,'chia CN XLBH'!$C159)</f>
        <v>0</v>
      </c>
      <c r="E159" s="419">
        <f>SUMIFS(XLBH!J$2:J$19,XLBH!$B$2:$B$19,'chia CN XLBH'!$C159)</f>
        <v>0</v>
      </c>
      <c r="F159" s="419">
        <f>SUMIFS(XLBH!K$2:K$19,XLBH!$B$2:$B$19,'chia CN XLBH'!$C159)</f>
        <v>0</v>
      </c>
      <c r="I159" s="80">
        <f>'chia CN SX'!V128</f>
        <v>0</v>
      </c>
      <c r="J159" s="81">
        <f t="shared" si="12"/>
        <v>0</v>
      </c>
      <c r="K159" s="81">
        <f t="shared" si="13"/>
        <v>0</v>
      </c>
      <c r="L159" s="81">
        <f t="shared" si="14"/>
        <v>0</v>
      </c>
    </row>
    <row r="160" spans="1:12">
      <c r="A160" s="421">
        <v>130</v>
      </c>
      <c r="B160" s="421"/>
      <c r="C160" s="421"/>
      <c r="D160" s="419">
        <f>SUMIFS(XLBH!I$2:I$19,XLBH!$B$2:$B$19,'chia CN XLBH'!$C160)</f>
        <v>0</v>
      </c>
      <c r="E160" s="419">
        <f>SUMIFS(XLBH!J$2:J$19,XLBH!$B$2:$B$19,'chia CN XLBH'!$C160)</f>
        <v>0</v>
      </c>
      <c r="F160" s="419">
        <f>SUMIFS(XLBH!K$2:K$19,XLBH!$B$2:$B$19,'chia CN XLBH'!$C160)</f>
        <v>0</v>
      </c>
      <c r="I160" s="80">
        <f>'chia CN SX'!V129</f>
        <v>0</v>
      </c>
      <c r="J160" s="81">
        <f t="shared" si="12"/>
        <v>0</v>
      </c>
      <c r="K160" s="81">
        <f t="shared" si="13"/>
        <v>0</v>
      </c>
      <c r="L160" s="81">
        <f t="shared" si="14"/>
        <v>0</v>
      </c>
    </row>
    <row r="161" spans="1:12">
      <c r="A161" s="421">
        <v>131</v>
      </c>
      <c r="B161" s="421"/>
      <c r="C161" s="421"/>
      <c r="D161" s="419">
        <f>SUMIFS(XLBH!I$2:I$19,XLBH!$B$2:$B$19,'chia CN XLBH'!$C161)</f>
        <v>0</v>
      </c>
      <c r="E161" s="419">
        <f>SUMIFS(XLBH!J$2:J$19,XLBH!$B$2:$B$19,'chia CN XLBH'!$C161)</f>
        <v>0</v>
      </c>
      <c r="F161" s="419">
        <f>SUMIFS(XLBH!K$2:K$19,XLBH!$B$2:$B$19,'chia CN XLBH'!$C161)</f>
        <v>0</v>
      </c>
      <c r="I161" s="80">
        <f>'chia CN SX'!V130</f>
        <v>0</v>
      </c>
      <c r="J161" s="81">
        <f t="shared" si="12"/>
        <v>0</v>
      </c>
      <c r="K161" s="81">
        <f t="shared" si="13"/>
        <v>0</v>
      </c>
      <c r="L161" s="81">
        <f t="shared" si="14"/>
        <v>0</v>
      </c>
    </row>
    <row r="162" spans="1:12">
      <c r="A162" s="421">
        <v>132</v>
      </c>
      <c r="B162" s="421"/>
      <c r="C162" s="421"/>
      <c r="D162" s="419">
        <f>SUMIFS(XLBH!I$2:I$19,XLBH!$B$2:$B$19,'chia CN XLBH'!$C162)</f>
        <v>0</v>
      </c>
      <c r="E162" s="419">
        <f>SUMIFS(XLBH!J$2:J$19,XLBH!$B$2:$B$19,'chia CN XLBH'!$C162)</f>
        <v>0</v>
      </c>
      <c r="F162" s="419">
        <f>SUMIFS(XLBH!K$2:K$19,XLBH!$B$2:$B$19,'chia CN XLBH'!$C162)</f>
        <v>0</v>
      </c>
      <c r="I162" s="80">
        <f>'chia CN SX'!V131</f>
        <v>0</v>
      </c>
      <c r="J162" s="81">
        <f t="shared" si="12"/>
        <v>0</v>
      </c>
      <c r="K162" s="81">
        <f t="shared" si="13"/>
        <v>0</v>
      </c>
      <c r="L162" s="81">
        <f t="shared" si="14"/>
        <v>0</v>
      </c>
    </row>
    <row r="163" spans="1:12">
      <c r="A163" s="421">
        <v>133</v>
      </c>
      <c r="B163" s="421"/>
      <c r="C163" s="421"/>
      <c r="D163" s="419">
        <f>SUMIFS(XLBH!I$2:I$19,XLBH!$B$2:$B$19,'chia CN XLBH'!$C163)</f>
        <v>0</v>
      </c>
      <c r="E163" s="419">
        <f>SUMIFS(XLBH!J$2:J$19,XLBH!$B$2:$B$19,'chia CN XLBH'!$C163)</f>
        <v>0</v>
      </c>
      <c r="F163" s="419">
        <f>SUMIFS(XLBH!K$2:K$19,XLBH!$B$2:$B$19,'chia CN XLBH'!$C163)</f>
        <v>0</v>
      </c>
      <c r="I163" s="80">
        <f>'chia CN SX'!V132</f>
        <v>0</v>
      </c>
      <c r="J163" s="81">
        <f t="shared" si="12"/>
        <v>0</v>
      </c>
      <c r="K163" s="81">
        <f t="shared" si="13"/>
        <v>0</v>
      </c>
      <c r="L163" s="81">
        <f t="shared" si="14"/>
        <v>0</v>
      </c>
    </row>
    <row r="164" spans="1:12">
      <c r="A164" s="421">
        <v>134</v>
      </c>
      <c r="B164" s="421"/>
      <c r="C164" s="421"/>
      <c r="D164" s="419">
        <f>SUMIFS(XLBH!I$2:I$19,XLBH!$B$2:$B$19,'chia CN XLBH'!$C164)</f>
        <v>0</v>
      </c>
      <c r="E164" s="419">
        <f>SUMIFS(XLBH!J$2:J$19,XLBH!$B$2:$B$19,'chia CN XLBH'!$C164)</f>
        <v>0</v>
      </c>
      <c r="F164" s="419">
        <f>SUMIFS(XLBH!K$2:K$19,XLBH!$B$2:$B$19,'chia CN XLBH'!$C164)</f>
        <v>0</v>
      </c>
      <c r="I164" s="80">
        <f>'chia CN SX'!V133</f>
        <v>0</v>
      </c>
      <c r="J164" s="81">
        <f t="shared" si="12"/>
        <v>0</v>
      </c>
      <c r="K164" s="81">
        <f t="shared" si="13"/>
        <v>0</v>
      </c>
      <c r="L164" s="81">
        <f t="shared" si="14"/>
        <v>0</v>
      </c>
    </row>
    <row r="165" spans="1:12">
      <c r="A165" s="421">
        <v>135</v>
      </c>
      <c r="B165" s="421"/>
      <c r="C165" s="421"/>
      <c r="D165" s="419">
        <f>SUMIFS(XLBH!I$2:I$19,XLBH!$B$2:$B$19,'chia CN XLBH'!$C165)</f>
        <v>0</v>
      </c>
      <c r="E165" s="419">
        <f>SUMIFS(XLBH!J$2:J$19,XLBH!$B$2:$B$19,'chia CN XLBH'!$C165)</f>
        <v>0</v>
      </c>
      <c r="F165" s="419">
        <f>SUMIFS(XLBH!K$2:K$19,XLBH!$B$2:$B$19,'chia CN XLBH'!$C165)</f>
        <v>0</v>
      </c>
      <c r="I165" s="80">
        <f>'chia CN SX'!V134</f>
        <v>0</v>
      </c>
      <c r="J165" s="81">
        <f t="shared" si="12"/>
        <v>0</v>
      </c>
      <c r="K165" s="81">
        <f t="shared" si="13"/>
        <v>0</v>
      </c>
      <c r="L165" s="81">
        <f t="shared" si="14"/>
        <v>0</v>
      </c>
    </row>
    <row r="166" spans="1:12">
      <c r="A166" s="421">
        <v>136</v>
      </c>
      <c r="B166" s="421"/>
      <c r="C166" s="421"/>
      <c r="D166" s="419">
        <f>SUMIFS(XLBH!I$2:I$19,XLBH!$B$2:$B$19,'chia CN XLBH'!$C166)</f>
        <v>0</v>
      </c>
      <c r="E166" s="419">
        <f>SUMIFS(XLBH!J$2:J$19,XLBH!$B$2:$B$19,'chia CN XLBH'!$C166)</f>
        <v>0</v>
      </c>
      <c r="F166" s="419">
        <f>SUMIFS(XLBH!K$2:K$19,XLBH!$B$2:$B$19,'chia CN XLBH'!$C166)</f>
        <v>0</v>
      </c>
      <c r="I166" s="80">
        <f>'chia CN SX'!V135</f>
        <v>0</v>
      </c>
      <c r="J166" s="81">
        <f t="shared" si="12"/>
        <v>0</v>
      </c>
      <c r="K166" s="81">
        <f t="shared" si="13"/>
        <v>0</v>
      </c>
      <c r="L166" s="81">
        <f t="shared" si="14"/>
        <v>0</v>
      </c>
    </row>
    <row r="167" spans="1:12">
      <c r="A167" s="421">
        <v>137</v>
      </c>
      <c r="B167" s="421"/>
      <c r="C167" s="421"/>
      <c r="D167" s="419">
        <f>SUMIFS(XLBH!I$2:I$19,XLBH!$B$2:$B$19,'chia CN XLBH'!$C167)</f>
        <v>0</v>
      </c>
      <c r="E167" s="419">
        <f>SUMIFS(XLBH!J$2:J$19,XLBH!$B$2:$B$19,'chia CN XLBH'!$C167)</f>
        <v>0</v>
      </c>
      <c r="F167" s="419">
        <f>SUMIFS(XLBH!K$2:K$19,XLBH!$B$2:$B$19,'chia CN XLBH'!$C167)</f>
        <v>0</v>
      </c>
      <c r="I167" s="80">
        <f>'chia CN SX'!V136</f>
        <v>0</v>
      </c>
      <c r="J167" s="81">
        <f t="shared" si="12"/>
        <v>0</v>
      </c>
      <c r="K167" s="81">
        <f t="shared" si="13"/>
        <v>0</v>
      </c>
      <c r="L167" s="81">
        <f t="shared" si="14"/>
        <v>0</v>
      </c>
    </row>
    <row r="168" spans="1:12">
      <c r="A168" s="421">
        <v>138</v>
      </c>
      <c r="B168" s="421"/>
      <c r="C168" s="421"/>
      <c r="D168" s="419">
        <f>SUMIFS(XLBH!I$2:I$19,XLBH!$B$2:$B$19,'chia CN XLBH'!$C168)</f>
        <v>0</v>
      </c>
      <c r="E168" s="419">
        <f>SUMIFS(XLBH!J$2:J$19,XLBH!$B$2:$B$19,'chia CN XLBH'!$C168)</f>
        <v>0</v>
      </c>
      <c r="F168" s="419">
        <f>SUMIFS(XLBH!K$2:K$19,XLBH!$B$2:$B$19,'chia CN XLBH'!$C168)</f>
        <v>0</v>
      </c>
      <c r="I168" s="80">
        <f>'chia CN SX'!V137</f>
        <v>0</v>
      </c>
      <c r="J168" s="81">
        <f t="shared" si="12"/>
        <v>0</v>
      </c>
      <c r="K168" s="81">
        <f t="shared" si="13"/>
        <v>0</v>
      </c>
      <c r="L168" s="81">
        <f t="shared" si="14"/>
        <v>0</v>
      </c>
    </row>
    <row r="169" spans="1:12">
      <c r="A169" s="421">
        <v>139</v>
      </c>
      <c r="B169" s="421"/>
      <c r="C169" s="421"/>
      <c r="D169" s="419">
        <f>SUMIFS(XLBH!I$2:I$19,XLBH!$B$2:$B$19,'chia CN XLBH'!$C169)</f>
        <v>0</v>
      </c>
      <c r="E169" s="419">
        <f>SUMIFS(XLBH!J$2:J$19,XLBH!$B$2:$B$19,'chia CN XLBH'!$C169)</f>
        <v>0</v>
      </c>
      <c r="F169" s="419">
        <f>SUMIFS(XLBH!K$2:K$19,XLBH!$B$2:$B$19,'chia CN XLBH'!$C169)</f>
        <v>0</v>
      </c>
      <c r="I169" s="80">
        <f>'chia CN SX'!V138</f>
        <v>0</v>
      </c>
      <c r="J169" s="81">
        <f t="shared" si="12"/>
        <v>0</v>
      </c>
      <c r="K169" s="81">
        <f t="shared" si="13"/>
        <v>0</v>
      </c>
      <c r="L169" s="81">
        <f t="shared" si="14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'1'!$C$6:$C$15</xm:f>
          </x14:formula1>
          <xm:sqref>B6:B1048576</xm:sqref>
        </x14:dataValidation>
        <x14:dataValidation type="list" allowBlank="1" showInputMessage="1" showErrorMessage="1">
          <x14:formula1>
            <xm:f>'1'!$C$6:$C$15</xm:f>
          </x14:formula1>
          <xm:sqref>B1:B2</xm:sqref>
        </x14:dataValidation>
        <x14:dataValidation type="list" allowBlank="1" showInputMessage="1" showErrorMessage="1">
          <x14:formula1>
            <xm:f>'1'!$C$6:$C$15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7</vt:i4>
      </vt:variant>
    </vt:vector>
  </HeadingPairs>
  <TitlesOfParts>
    <vt:vector size="62" baseType="lpstr">
      <vt:lpstr>Sheet2</vt:lpstr>
      <vt:lpstr>Thang bảng lương</vt:lpstr>
      <vt:lpstr>Diễn giải</vt:lpstr>
      <vt:lpstr>Bang luong</vt:lpstr>
      <vt:lpstr>he so</vt:lpstr>
      <vt:lpstr>the luong</vt:lpstr>
      <vt:lpstr>thang luong moi</vt:lpstr>
      <vt:lpstr>Bang luong (chaun)</vt:lpstr>
      <vt:lpstr>ung luong</vt:lpstr>
      <vt:lpstr>So sánh - nhan xet</vt:lpstr>
      <vt:lpstr>chuyên cần</vt:lpstr>
      <vt:lpstr>nhap cc</vt:lpstr>
      <vt:lpstr>BLuong</vt:lpstr>
      <vt:lpstr>TG - Phep nam</vt:lpstr>
      <vt:lpstr>CC</vt:lpstr>
      <vt:lpstr>BANG LUONG 1</vt:lpstr>
      <vt:lpstr>đơn giá</vt:lpstr>
      <vt:lpstr>Công tổng</vt:lpstr>
      <vt:lpstr>26</vt:lpstr>
      <vt:lpstr>27</vt:lpstr>
      <vt:lpstr>28</vt:lpstr>
      <vt:lpstr>29</vt:lpstr>
      <vt:lpstr>30</vt:lpstr>
      <vt:lpstr>31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boc xe</vt:lpstr>
      <vt:lpstr>chia CN boc xe</vt:lpstr>
      <vt:lpstr>SX</vt:lpstr>
      <vt:lpstr>chia CN SX</vt:lpstr>
      <vt:lpstr>XLBH</vt:lpstr>
      <vt:lpstr>chia CN XLBH</vt:lpstr>
      <vt:lpstr>'Bang luong (chaun)'!Print_Area</vt:lpstr>
      <vt:lpstr>'BANG LUONG 1'!Print_Area</vt:lpstr>
      <vt:lpstr>'thang luong moi'!Print_Area</vt:lpstr>
      <vt:lpstr>'BANG LUONG 1'!Print_Titles</vt:lpstr>
      <vt:lpstr>CC!Print_Titles</vt:lpstr>
      <vt:lpstr>'TG - Phep nam'!Print_Titles</vt:lpstr>
      <vt:lpstr>'ung luong'!Print_Titles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saocodon</dc:creator>
  <cp:lastModifiedBy>Asus</cp:lastModifiedBy>
  <cp:lastPrinted>2019-09-14T02:45:48Z</cp:lastPrinted>
  <dcterms:created xsi:type="dcterms:W3CDTF">2015-09-18T03:45:33Z</dcterms:created>
  <dcterms:modified xsi:type="dcterms:W3CDTF">2019-09-18T07:18:28Z</dcterms:modified>
</cp:coreProperties>
</file>